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bar.az\dfs-r\Roam\Samid_Guluzada\Desktop\Bulleten 03.24\separate 03.24\"/>
    </mc:Choice>
  </mc:AlternateContent>
  <xr:revisionPtr revIDLastSave="0" documentId="13_ncr:1_{5FBF492F-2BEA-4AB3-AC71-21D28097288D}" xr6:coauthVersionLast="47" xr6:coauthVersionMax="47" xr10:uidLastSave="{00000000-0000-0000-0000-000000000000}"/>
  <bookViews>
    <workbookView xWindow="28680" yWindow="-120" windowWidth="38640" windowHeight="21120" xr2:uid="{C4B42859-F108-4314-8588-18ED399C40E3}"/>
  </bookViews>
  <sheets>
    <sheet name="2.8" sheetId="1" r:id="rId1"/>
    <sheet name="2.8.d." sheetId="2" r:id="rId2"/>
  </sheets>
  <externalReferences>
    <externalReference r:id="rId3"/>
    <externalReference r:id="rId4"/>
    <externalReference r:id="rId5"/>
  </externalReferences>
  <definedNames>
    <definedName name="__LF_ffffffde__ffffffe6_ki_LFdr1_iNdEx_646" localSheetId="1">'[1]ST-2SD.ST'!$A$81</definedName>
    <definedName name="__LF_ffffffde__ffffffe6_ki_LFdr1_iNdEx_646">'[1]ST-2SD.ST'!$A$81</definedName>
    <definedName name="__LF_ffffffde_u_fffffffe_a_LFdr1_iNdEx_645" localSheetId="1">'[1]ST-2SD.ST'!$A$80</definedName>
    <definedName name="__LF_ffffffde_u_fffffffe_a_LFdr1_iNdEx_645">'[1]ST-2SD.ST'!$A$80</definedName>
    <definedName name="__LFA_fffffff0_dam_LFdr1_iNdEx_584" localSheetId="1">'[1]ST-2SD.ST'!$A$19</definedName>
    <definedName name="__LFA_fffffff0_dam_LFdr1_iNdEx_584">'[1]ST-2SD.ST'!$A$19</definedName>
    <definedName name="__LFAstara_LFdr1_iNdEx_582" localSheetId="1">'[1]ST-2SD.ST'!$A$17</definedName>
    <definedName name="__LFAstara_LFdr1_iNdEx_582">'[1]ST-2SD.ST'!$A$17</definedName>
    <definedName name="__LFBak_fffffffd__LFdr1_iNdEx_588" localSheetId="1">'[1]ST-2SD.ST'!$A$23</definedName>
    <definedName name="__LFBak_fffffffd__LFdr1_iNdEx_588">'[1]ST-2SD.ST'!$A$23</definedName>
    <definedName name="__LFBalak_ffffffe6_n_LFdr1_iNdEx_589" localSheetId="1">'[1]ST-2SD.ST'!$A$24</definedName>
    <definedName name="__LFBalak_ffffffe6_n_LFdr1_iNdEx_589">'[1]ST-2SD.ST'!$A$24</definedName>
    <definedName name="__LFC_ffffffe6_bray_fffffffd_l_LFdr1_iNdEx_593" localSheetId="1">'[1]ST-2SD.ST'!$A$28</definedName>
    <definedName name="__LFC_ffffffe6_bray_fffffffd_l_LFdr1_iNdEx_593">'[1]ST-2SD.ST'!$A$28</definedName>
    <definedName name="__LFC_ffffffe6_lilabad_LFdr1_iNdEx_594" localSheetId="1">'[1]ST-2SD.ST'!$A$29</definedName>
    <definedName name="__LFC_ffffffe6_lilabad_LFdr1_iNdEx_594">'[1]ST-2SD.ST'!$A$29</definedName>
    <definedName name="__LFD_ffffffe6_v_ffffffe6__ffffffe7_i_LFdr1_iNdEx_597" localSheetId="1">'[1]ST-2SD.ST'!$A$32</definedName>
    <definedName name="__LFD_ffffffe6_v_ffffffe6__ffffffe7_i_LFdr1_iNdEx_597">'[1]ST-2SD.ST'!$A$32</definedName>
    <definedName name="__LFF_fffffffc_zuli_LFdr1_iNdEx_598" localSheetId="1">'[1]ST-2SD.ST'!$A$33</definedName>
    <definedName name="__LFF_fffffffc_zuli_LFdr1_iNdEx_598">'[1]ST-2SD.ST'!$A$33</definedName>
    <definedName name="__LFK_ffffffe6_lb_ffffffe6_c_ffffffe6_r_LFdr1_iNdEx_604" localSheetId="1">'[1]ST-2SD.ST'!$A$39</definedName>
    <definedName name="__LFK_ffffffe6_lb_ffffffe6_c_ffffffe6_r_LFdr1_iNdEx_604">'[1]ST-2SD.ST'!$A$39</definedName>
    <definedName name="__LFL_ffffffe6_nk_ffffffe6_ran_LFdr1_iNdEx_608" localSheetId="1">'[1]ST-2SD.ST'!$A$43</definedName>
    <definedName name="__LFL_ffffffe6_nk_ffffffe6_ran_LFdr1_iNdEx_608">'[1]ST-2SD.ST'!$A$43</definedName>
    <definedName name="__LFLa_ffffffe7__fffffffd_n_LFdr1_iNdEx_606" localSheetId="1">'[1]ST-2SD.ST'!$A$41</definedName>
    <definedName name="__LFLa_ffffffe7__fffffffd_n_LFdr1_iNdEx_606">'[1]ST-2SD.ST'!$A$41</definedName>
    <definedName name="__LFLerik_LFdr1_iNdEx_607" localSheetId="1">'[1]ST-2SD.ST'!$A$42</definedName>
    <definedName name="__LFLerik_LFdr1_iNdEx_607">'[1]ST-2SD.ST'!$A$42</definedName>
    <definedName name="__LFMasall_fffffffd__LFdr1_iNdEx_609" localSheetId="1">'[1]ST-2SD.ST'!$A$44</definedName>
    <definedName name="__LFMasall_fffffffd__LFdr1_iNdEx_609">'[1]ST-2SD.ST'!$A$44</definedName>
    <definedName name="__LFNax_ffffffe7__fffffffd_van_LFdr1_iNdEx_612" localSheetId="1">'[1]ST-2SD.ST'!$A$47</definedName>
    <definedName name="__LFNax_ffffffe7__fffffffd_van_LFdr1_iNdEx_612">'[1]ST-2SD.ST'!$A$47</definedName>
    <definedName name="__LFO_fffffff0_uz_LFdr1_iNdEx_614" localSheetId="1">'[1]ST-2SD.ST'!$A$49</definedName>
    <definedName name="__LFO_fffffff0_uz_LFdr1_iNdEx_614">'[1]ST-2SD.ST'!$A$49</definedName>
    <definedName name="__LFQ_ffffffe6_b_ffffffe6_l_ffffffe6__LFdr1_iNdEx_621" localSheetId="1">'[1]ST-2SD.ST'!$A$56</definedName>
    <definedName name="__LFQ_ffffffe6_b_ffffffe6_l_ffffffe6__LFdr1_iNdEx_621">'[1]ST-2SD.ST'!$A$56</definedName>
    <definedName name="__LFQax_LFdr1_iNdEx_615" localSheetId="1">'[1]ST-2SD.ST'!$A$50</definedName>
    <definedName name="__LFQax_LFdr1_iNdEx_615">'[1]ST-2SD.ST'!$A$50</definedName>
    <definedName name="__LFQuba_LFdr1_iNdEx_618" localSheetId="1">'[1]ST-2SD.ST'!$A$53</definedName>
    <definedName name="__LFQuba_LFdr1_iNdEx_618">'[1]ST-2SD.ST'!$A$53</definedName>
    <definedName name="__LFQubadl_fffffffd__LFdr1_iNdEx_619" localSheetId="1">'[1]ST-2SD.ST'!$A$54</definedName>
    <definedName name="__LFQubadl_fffffffd__LFdr1_iNdEx_619">'[1]ST-2SD.ST'!$A$54</definedName>
    <definedName name="__LFQusar_LFdr1_iNdEx_620" localSheetId="1">'[1]ST-2SD.ST'!$A$55</definedName>
    <definedName name="__LFQusar_LFdr1_iNdEx_620">'[1]ST-2SD.ST'!$A$55</definedName>
    <definedName name="__LFSiy_ffffffe6_z_ffffffe6_n_LFdr1_iNdEx_626" localSheetId="1">'[1]ST-2SD.ST'!$A$61</definedName>
    <definedName name="__LFSiy_ffffffe6_z_ffffffe6_n_LFdr1_iNdEx_626">'[1]ST-2SD.ST'!$A$61</definedName>
    <definedName name="__LFT_ffffffe6_rt_ffffffe6_r_LFdr1_iNdEx_629" localSheetId="1">'[1]ST-2SD.ST'!$A$64</definedName>
    <definedName name="__LFT_ffffffe6_rt_ffffffe6_r_LFdr1_iNdEx_629">'[1]ST-2SD.ST'!$A$64</definedName>
    <definedName name="__LFXa_ffffffe7_maz_LFdr1_iNdEx_632" localSheetId="1">'[1]ST-2SD.ST'!$A$67</definedName>
    <definedName name="__LFXa_ffffffe7_maz_LFdr1_iNdEx_632">'[1]ST-2SD.ST'!$A$67</definedName>
    <definedName name="__LFXocal_fffffffd__LFdr1_iNdEx_633" localSheetId="1">'[1]ST-2SD.ST'!$A$68</definedName>
    <definedName name="__LFXocal_fffffffd__LFdr1_iNdEx_633">'[1]ST-2SD.ST'!$A$68</definedName>
    <definedName name="__LFXocav_ffffffe6_nd_LFdr1_iNdEx_634" localSheetId="1">'[1]ST-2SD.ST'!$A$69</definedName>
    <definedName name="__LFXocav_ffffffe6_nd_LFdr1_iNdEx_634">'[1]ST-2SD.ST'!$A$69</definedName>
    <definedName name="__LFYard_fffffffd_ml_fffffffd__LFdr1_iNdEx_636" localSheetId="1">'[1]ST-2SD.ST'!$A$71</definedName>
    <definedName name="__LFYard_fffffffd_ml_fffffffd__LFdr1_iNdEx_636">'[1]ST-2SD.ST'!$A$71</definedName>
    <definedName name="__LFZ_ffffffe6_ngilan_LFdr1_iNdEx_639" localSheetId="1">'[1]ST-2SD.ST'!$A$74</definedName>
    <definedName name="__LFZ_ffffffe6_ngilan_LFdr1_iNdEx_639">'[1]ST-2SD.ST'!$A$74</definedName>
    <definedName name="__LFZaqatala_LFdr1_iNdEx_638" localSheetId="1">'[1]ST-2SD.ST'!$A$73</definedName>
    <definedName name="__LFZaqatala_LFdr1_iNdEx_638">'[1]ST-2SD.ST'!$A$73</definedName>
    <definedName name="_b2_iNdEx_2" localSheetId="1">'[2]3.6'!#REF!</definedName>
    <definedName name="_b2_iNdEx_2">'[2]3.6'!#REF!</definedName>
    <definedName name="_c1_iNdEx_3" localSheetId="1">'[2]3.6'!#REF!</definedName>
    <definedName name="_c1_iNdEx_3">'[2]3.6'!#REF!</definedName>
    <definedName name="_c2_iNdEx_4" localSheetId="1">'[2]3.6'!#REF!</definedName>
    <definedName name="_c2_iNdEx_4">'[2]3.6'!#REF!</definedName>
    <definedName name="_c3_iNdEx_5" localSheetId="1">'[2]3.6'!#REF!</definedName>
    <definedName name="_c3_iNdEx_5">'[2]3.6'!#REF!</definedName>
    <definedName name="_c4_iNdEx_6" localSheetId="1">'[2]3.6'!#REF!</definedName>
    <definedName name="_c4_iNdEx_6">'[2]3.6'!#REF!</definedName>
    <definedName name="_c5_iNdEx_7" localSheetId="1">'[2]3.6'!#REF!</definedName>
    <definedName name="_c5_iNdEx_7">'[2]3.6'!#REF!</definedName>
    <definedName name="_c6_iNdEx_8" localSheetId="1">'[2]3.6'!#REF!</definedName>
    <definedName name="_c6_iNdEx_8">'[2]3.6'!#REF!</definedName>
    <definedName name="_c7_iNdEx_9" localSheetId="1">'[2]3.6'!#REF!</definedName>
    <definedName name="_c7_iNdEx_9">'[2]3.6'!#REF!</definedName>
    <definedName name="_c8_iNdEx_10" localSheetId="1">'[2]3.6'!#REF!</definedName>
    <definedName name="_c8_iNdEx_10">'[2]3.6'!#REF!</definedName>
    <definedName name="_h1_iNdEx_11" localSheetId="1">'[2]3.6 (2)'!$A$2</definedName>
    <definedName name="_h1_iNdEx_11">'[2]3.6 (2)'!$A$2</definedName>
    <definedName name="_h10_iNdEx_38" localSheetId="1">'[2]3.6 (2)'!$A$30</definedName>
    <definedName name="_h10_iNdEx_38">'[2]3.6 (2)'!$A$30</definedName>
    <definedName name="_h11_iNdEx_39" localSheetId="1">'[2]3.6 (2)'!$A$31</definedName>
    <definedName name="_h11_iNdEx_39">'[2]3.6 (2)'!$A$31</definedName>
    <definedName name="_h12_iNdEx_40" localSheetId="1">'[2]3.6'!#REF!</definedName>
    <definedName name="_h12_iNdEx_40">'[2]3.6'!#REF!</definedName>
    <definedName name="_h13_iNdEx_42" localSheetId="1">'[2]3.6 (2)'!$A$33</definedName>
    <definedName name="_h13_iNdEx_42">'[2]3.6 (2)'!$A$33</definedName>
    <definedName name="_h14_iNdEx_47" localSheetId="1">'[2]3.6 (2)'!$A$37</definedName>
    <definedName name="_h14_iNdEx_47">'[2]3.6 (2)'!$A$37</definedName>
    <definedName name="_h15_iNdEx_55" localSheetId="1">'[2]3.6'!#REF!</definedName>
    <definedName name="_h15_iNdEx_55">'[2]3.6'!#REF!</definedName>
    <definedName name="_h2_iNdEx_12" localSheetId="1">'[2]3.6 (2)'!$A$4</definedName>
    <definedName name="_h2_iNdEx_12">'[2]3.6 (2)'!$A$4</definedName>
    <definedName name="_h3_iNdEx_13" localSheetId="1">'[2]3.6 (2)'!$A$13</definedName>
    <definedName name="_h3_iNdEx_13">'[2]3.6 (2)'!$A$13</definedName>
    <definedName name="_h4_iNdEx_14" localSheetId="1">'[2]3.6 (2)'!$A$14</definedName>
    <definedName name="_h4_iNdEx_14">'[2]3.6 (2)'!$A$14</definedName>
    <definedName name="_h5_iNdEx_15" localSheetId="1">'[2]3.6'!#REF!</definedName>
    <definedName name="_h5_iNdEx_15">'[2]3.6'!#REF!</definedName>
    <definedName name="_h6_iNdEx_17" localSheetId="1">'[2]3.6 (2)'!$A$16</definedName>
    <definedName name="_h6_iNdEx_17">'[2]3.6 (2)'!$A$16</definedName>
    <definedName name="_h7_iNdEx_22" localSheetId="1">'[2]3.6 (2)'!$A$20</definedName>
    <definedName name="_h7_iNdEx_22">'[2]3.6 (2)'!$A$20</definedName>
    <definedName name="_h8_iNdEx_28" localSheetId="1">'[2]3.6 (2)'!$A$26</definedName>
    <definedName name="_h8_iNdEx_28">'[2]3.6 (2)'!$A$26</definedName>
    <definedName name="_h9_iNdEx_37" localSheetId="1">'[2]3.6'!#REF!</definedName>
    <definedName name="_h9_iNdEx_37">'[2]3.6'!#REF!</definedName>
    <definedName name="_r1_iNdEx_16" localSheetId="1">'[2]3.6 (2)'!$A$15</definedName>
    <definedName name="_r1_iNdEx_16">'[2]3.6 (2)'!$A$15</definedName>
    <definedName name="_r10_iNdEx_27" localSheetId="1">'[2]3.6 (2)'!$A$25</definedName>
    <definedName name="_r10_iNdEx_27">'[2]3.6 (2)'!$A$25</definedName>
    <definedName name="_r11_iNdEx_29" localSheetId="1">'[2]3.6 (2)'!$A$27</definedName>
    <definedName name="_r11_iNdEx_29">'[2]3.6 (2)'!$A$27</definedName>
    <definedName name="_r12_iNdEx_30" localSheetId="1">'[2]3.6'!#REF!</definedName>
    <definedName name="_r12_iNdEx_30">'[2]3.6'!#REF!</definedName>
    <definedName name="_r13_iNdEx_31" localSheetId="1">'[2]3.6'!#REF!</definedName>
    <definedName name="_r13_iNdEx_31">'[2]3.6'!#REF!</definedName>
    <definedName name="_r14_iNdEx_32" localSheetId="1">'[2]3.6'!#REF!</definedName>
    <definedName name="_r14_iNdEx_32">'[2]3.6'!#REF!</definedName>
    <definedName name="_r15_iNdEx_33" localSheetId="1">'[2]3.6'!#REF!</definedName>
    <definedName name="_r15_iNdEx_33">'[2]3.6'!#REF!</definedName>
    <definedName name="_r16_iNdEx_34" localSheetId="1">'[2]3.6'!#REF!</definedName>
    <definedName name="_r16_iNdEx_34">'[2]3.6'!#REF!</definedName>
    <definedName name="_r17_iNdEx_35" localSheetId="1">'[2]3.6'!#REF!</definedName>
    <definedName name="_r17_iNdEx_35">'[2]3.6'!#REF!</definedName>
    <definedName name="_r18_iNdEx_36" localSheetId="1">'[2]3.6'!#REF!</definedName>
    <definedName name="_r18_iNdEx_36">'[2]3.6'!#REF!</definedName>
    <definedName name="_r19_iNdEx_41" localSheetId="1">'[2]3.6 (2)'!$A$32</definedName>
    <definedName name="_r19_iNdEx_41">'[2]3.6 (2)'!$A$32</definedName>
    <definedName name="_r2_iNdEx_18" localSheetId="1">'[2]3.6'!#REF!</definedName>
    <definedName name="_r2_iNdEx_18">'[2]3.6'!#REF!</definedName>
    <definedName name="_r20_iNdEx_43" localSheetId="1">'[2]3.6'!#REF!</definedName>
    <definedName name="_r20_iNdEx_43">'[2]3.6'!#REF!</definedName>
    <definedName name="_r21_iNdEx_44" localSheetId="1">'[2]3.6 (2)'!$A$34</definedName>
    <definedName name="_r21_iNdEx_44">'[2]3.6 (2)'!$A$34</definedName>
    <definedName name="_r22_iNdEx_45" localSheetId="1">'[2]3.6 (2)'!$A$35</definedName>
    <definedName name="_r22_iNdEx_45">'[2]3.6 (2)'!$A$35</definedName>
    <definedName name="_r23_iNdEx_46" localSheetId="1">'[2]3.6 (2)'!$A$36</definedName>
    <definedName name="_r23_iNdEx_46">'[2]3.6 (2)'!$A$36</definedName>
    <definedName name="_r24_iNdEx_48" localSheetId="1">'[2]3.6 (2)'!$A$38</definedName>
    <definedName name="_r24_iNdEx_48">'[2]3.6 (2)'!$A$38</definedName>
    <definedName name="_r25_iNdEx_49" localSheetId="1">'[2]3.6 (2)'!$A$39</definedName>
    <definedName name="_r25_iNdEx_49">'[2]3.6 (2)'!$A$39</definedName>
    <definedName name="_r26_iNdEx_50" localSheetId="1">'[2]3.6 (2)'!$A$40</definedName>
    <definedName name="_r26_iNdEx_50">'[2]3.6 (2)'!$A$40</definedName>
    <definedName name="_r27_iNdEx_51" localSheetId="1">'[2]3.6 (2)'!$A$41</definedName>
    <definedName name="_r27_iNdEx_51">'[2]3.6 (2)'!$A$41</definedName>
    <definedName name="_r28_iNdEx_52" localSheetId="1">'[2]3.6 (2)'!$A$42</definedName>
    <definedName name="_r28_iNdEx_52">'[2]3.6 (2)'!$A$42</definedName>
    <definedName name="_r29_iNdEx_53" localSheetId="1">'[2]3.6 (2)'!$A$43</definedName>
    <definedName name="_r29_iNdEx_53">'[2]3.6 (2)'!$A$43</definedName>
    <definedName name="_r3_iNdEx_19" localSheetId="1">'[2]3.6 (2)'!$A$17</definedName>
    <definedName name="_r3_iNdEx_19">'[2]3.6 (2)'!$A$17</definedName>
    <definedName name="_r30_iNdEx_54" localSheetId="1">'[2]3.6'!#REF!</definedName>
    <definedName name="_r30_iNdEx_54">'[2]3.6'!#REF!</definedName>
    <definedName name="_r31_iNdEx_56" localSheetId="1">'[2]3.6'!#REF!</definedName>
    <definedName name="_r31_iNdEx_56">'[2]3.6'!#REF!</definedName>
    <definedName name="_r32_iNdEx_57" localSheetId="1">'[2]3.6'!#REF!</definedName>
    <definedName name="_r32_iNdEx_57">'[2]3.6'!#REF!</definedName>
    <definedName name="_r33_iNdEx_58" localSheetId="1">'[2]3.6'!#REF!</definedName>
    <definedName name="_r33_iNdEx_58">'[2]3.6'!#REF!</definedName>
    <definedName name="_r34_iNdEx_59" localSheetId="1">'[2]3.6'!#REF!</definedName>
    <definedName name="_r34_iNdEx_59">'[2]3.6'!#REF!</definedName>
    <definedName name="_r4_iNdEx_20" localSheetId="1">'[2]3.6 (2)'!$A$18</definedName>
    <definedName name="_r4_iNdEx_20">'[2]3.6 (2)'!$A$18</definedName>
    <definedName name="_r5_iNdEx_21" localSheetId="1">'[2]3.6 (2)'!$A$19</definedName>
    <definedName name="_r5_iNdEx_21">'[2]3.6 (2)'!$A$19</definedName>
    <definedName name="_r6_iNdEx_23" localSheetId="1">'[2]3.6 (2)'!$A$21</definedName>
    <definedName name="_r6_iNdEx_23">'[2]3.6 (2)'!$A$21</definedName>
    <definedName name="_r7_iNdEx_24" localSheetId="1">'[2]3.6 (2)'!$A$22</definedName>
    <definedName name="_r7_iNdEx_24">'[2]3.6 (2)'!$A$22</definedName>
    <definedName name="_r8_iNdEx_25" localSheetId="1">'[2]3.6 (2)'!$A$23</definedName>
    <definedName name="_r8_iNdEx_25">'[2]3.6 (2)'!$A$23</definedName>
    <definedName name="_r9_iNdEx_26" localSheetId="1">'[2]3.6 (2)'!$A$24</definedName>
    <definedName name="_r9_iNdEx_26">'[2]3.6 (2)'!$A$24</definedName>
    <definedName name="_rid_Tb1_iNdEx_1" localSheetId="1">'[2]3.6'!#REF!</definedName>
    <definedName name="_rid_Tb1_iNdEx_1">'[2]3.6'!#REF!</definedName>
    <definedName name="fdfdfdf" localSheetId="1">'[3]ST-2SD.ST'!$A$23</definedName>
    <definedName name="fdfdfdf">'[3]ST-2SD.ST'!$A$23</definedName>
    <definedName name="lerik" localSheetId="1">'[3]ST-2SD.ST'!$A$42</definedName>
    <definedName name="lerik">'[3]ST-2SD.ST'!$A$42</definedName>
    <definedName name="_xlnm.Print_Area" localSheetId="0">'2.8'!$A$1:$AI$274</definedName>
    <definedName name="_xlnm.Print_Area" localSheetId="1">'2.8.d.'!$A$1:$AG$71</definedName>
    <definedName name="_xlnm.Print_Titles" localSheetId="0">'2.8'!$A:$A,'2.8'!$2:$3</definedName>
    <definedName name="_xlnm.Print_Titles" localSheetId="1">'2.8.d.'!$A:$A,'2.8.d.'!$2:$3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8" i="2" l="1"/>
  <c r="D67" i="2"/>
  <c r="D66" i="2"/>
  <c r="D64" i="2"/>
  <c r="D63" i="2"/>
  <c r="D62" i="2"/>
  <c r="D61" i="2"/>
  <c r="D60" i="2"/>
  <c r="D59" i="2"/>
  <c r="D58" i="2"/>
  <c r="D57" i="2"/>
  <c r="D56" i="2"/>
  <c r="D55" i="2"/>
  <c r="D54" i="2"/>
  <c r="D53" i="2"/>
  <c r="D49" i="2"/>
  <c r="D48" i="2"/>
  <c r="D47" i="2"/>
  <c r="D46" i="2"/>
  <c r="D45" i="2"/>
  <c r="D44" i="2"/>
  <c r="D43" i="2"/>
  <c r="D42" i="2"/>
  <c r="D41" i="2"/>
  <c r="D40" i="2"/>
  <c r="D38" i="2"/>
  <c r="D37" i="2"/>
  <c r="D36" i="2"/>
  <c r="D35" i="2"/>
  <c r="D34" i="2"/>
  <c r="D33" i="2"/>
  <c r="D32" i="2"/>
  <c r="D31" i="2"/>
  <c r="D30" i="2"/>
  <c r="D29" i="2"/>
  <c r="D28" i="2"/>
  <c r="D27" i="2"/>
  <c r="D25" i="2"/>
  <c r="D24" i="2"/>
  <c r="D23" i="2"/>
  <c r="D22" i="2"/>
  <c r="D21" i="2"/>
  <c r="D20" i="2"/>
  <c r="D19" i="2"/>
  <c r="D16" i="2"/>
  <c r="D15" i="2"/>
  <c r="D14" i="2"/>
  <c r="AH271" i="1"/>
  <c r="AF271" i="1"/>
  <c r="AD271" i="1"/>
  <c r="AB271" i="1"/>
  <c r="Y271" i="1"/>
  <c r="Z271" i="1" s="1"/>
  <c r="X271" i="1"/>
  <c r="V271" i="1"/>
  <c r="T271" i="1"/>
  <c r="R271" i="1"/>
  <c r="P271" i="1"/>
  <c r="N271" i="1"/>
  <c r="L271" i="1"/>
  <c r="J271" i="1"/>
  <c r="H271" i="1"/>
  <c r="F271" i="1"/>
  <c r="D271" i="1"/>
  <c r="AH270" i="1"/>
  <c r="AF270" i="1"/>
  <c r="AD270" i="1"/>
  <c r="AB270" i="1"/>
  <c r="Z270" i="1"/>
  <c r="Y270" i="1"/>
  <c r="X270" i="1"/>
  <c r="V270" i="1"/>
  <c r="T270" i="1"/>
  <c r="R270" i="1"/>
  <c r="P270" i="1"/>
  <c r="N270" i="1"/>
  <c r="L270" i="1"/>
  <c r="J270" i="1"/>
  <c r="H270" i="1"/>
  <c r="F270" i="1"/>
  <c r="D270" i="1"/>
  <c r="AH269" i="1"/>
  <c r="AF269" i="1"/>
  <c r="AD269" i="1"/>
  <c r="AB269" i="1"/>
  <c r="Y269" i="1"/>
  <c r="Z269" i="1" s="1"/>
  <c r="X269" i="1"/>
  <c r="V269" i="1"/>
  <c r="T269" i="1"/>
  <c r="R269" i="1"/>
  <c r="P269" i="1"/>
  <c r="N269" i="1"/>
  <c r="L269" i="1"/>
  <c r="J269" i="1"/>
  <c r="H269" i="1"/>
  <c r="F269" i="1"/>
  <c r="D269" i="1"/>
  <c r="AH267" i="1"/>
  <c r="AF267" i="1"/>
  <c r="AD267" i="1"/>
  <c r="AB267" i="1"/>
  <c r="Y267" i="1"/>
  <c r="Z267" i="1" s="1"/>
  <c r="X267" i="1"/>
  <c r="V267" i="1"/>
  <c r="T267" i="1"/>
  <c r="R267" i="1"/>
  <c r="P267" i="1"/>
  <c r="N267" i="1"/>
  <c r="L267" i="1"/>
  <c r="J267" i="1"/>
  <c r="H267" i="1"/>
  <c r="F267" i="1"/>
  <c r="D267" i="1"/>
  <c r="AH266" i="1"/>
  <c r="AF266" i="1"/>
  <c r="AD266" i="1"/>
  <c r="AB266" i="1"/>
  <c r="Y266" i="1"/>
  <c r="Z266" i="1" s="1"/>
  <c r="X266" i="1"/>
  <c r="V266" i="1"/>
  <c r="T266" i="1"/>
  <c r="R266" i="1"/>
  <c r="P266" i="1"/>
  <c r="N266" i="1"/>
  <c r="L266" i="1"/>
  <c r="J266" i="1"/>
  <c r="H266" i="1"/>
  <c r="F266" i="1"/>
  <c r="D266" i="1"/>
  <c r="AH265" i="1"/>
  <c r="AF265" i="1"/>
  <c r="AD265" i="1"/>
  <c r="AB265" i="1"/>
  <c r="Z265" i="1"/>
  <c r="Y265" i="1"/>
  <c r="X265" i="1"/>
  <c r="V265" i="1"/>
  <c r="T265" i="1"/>
  <c r="R265" i="1"/>
  <c r="P265" i="1"/>
  <c r="N265" i="1"/>
  <c r="L265" i="1"/>
  <c r="J265" i="1"/>
  <c r="H265" i="1"/>
  <c r="F265" i="1"/>
  <c r="D265" i="1"/>
  <c r="AH264" i="1"/>
  <c r="AF264" i="1"/>
  <c r="AD264" i="1"/>
  <c r="AB264" i="1"/>
  <c r="Y264" i="1"/>
  <c r="Z264" i="1" s="1"/>
  <c r="X264" i="1"/>
  <c r="V264" i="1"/>
  <c r="T264" i="1"/>
  <c r="R264" i="1"/>
  <c r="P264" i="1"/>
  <c r="N264" i="1"/>
  <c r="L264" i="1"/>
  <c r="J264" i="1"/>
  <c r="H264" i="1"/>
  <c r="F264" i="1"/>
  <c r="D264" i="1"/>
  <c r="AH263" i="1"/>
  <c r="AF263" i="1"/>
  <c r="AD263" i="1"/>
  <c r="AB263" i="1"/>
  <c r="Y263" i="1"/>
  <c r="Z263" i="1" s="1"/>
  <c r="X263" i="1"/>
  <c r="V263" i="1"/>
  <c r="T263" i="1"/>
  <c r="R263" i="1"/>
  <c r="P263" i="1"/>
  <c r="N263" i="1"/>
  <c r="L263" i="1"/>
  <c r="J263" i="1"/>
  <c r="H263" i="1"/>
  <c r="F263" i="1"/>
  <c r="D263" i="1"/>
  <c r="AH262" i="1"/>
  <c r="AF262" i="1"/>
  <c r="AD262" i="1"/>
  <c r="AB262" i="1"/>
  <c r="Y262" i="1"/>
  <c r="Z262" i="1" s="1"/>
  <c r="X262" i="1"/>
  <c r="V262" i="1"/>
  <c r="T262" i="1"/>
  <c r="R262" i="1"/>
  <c r="P262" i="1"/>
  <c r="N262" i="1"/>
  <c r="L262" i="1"/>
  <c r="J262" i="1"/>
  <c r="H262" i="1"/>
  <c r="F262" i="1"/>
  <c r="D262" i="1"/>
  <c r="AH261" i="1"/>
  <c r="AF261" i="1"/>
  <c r="AD261" i="1"/>
  <c r="AB261" i="1"/>
  <c r="Y261" i="1"/>
  <c r="Z261" i="1" s="1"/>
  <c r="X261" i="1"/>
  <c r="V261" i="1"/>
  <c r="T261" i="1"/>
  <c r="R261" i="1"/>
  <c r="P261" i="1"/>
  <c r="N261" i="1"/>
  <c r="L261" i="1"/>
  <c r="J261" i="1"/>
  <c r="H261" i="1"/>
  <c r="F261" i="1"/>
  <c r="D261" i="1"/>
  <c r="AH260" i="1"/>
  <c r="AF260" i="1"/>
  <c r="AD260" i="1"/>
  <c r="AB260" i="1"/>
  <c r="Z260" i="1"/>
  <c r="Y260" i="1"/>
  <c r="X260" i="1"/>
  <c r="V260" i="1"/>
  <c r="T260" i="1"/>
  <c r="R260" i="1"/>
  <c r="P260" i="1"/>
  <c r="N260" i="1"/>
  <c r="L260" i="1"/>
  <c r="J260" i="1"/>
  <c r="H260" i="1"/>
  <c r="F260" i="1"/>
  <c r="D260" i="1"/>
  <c r="AH259" i="1"/>
  <c r="AF259" i="1"/>
  <c r="AD259" i="1"/>
  <c r="AB259" i="1"/>
  <c r="Z259" i="1"/>
  <c r="Y259" i="1"/>
  <c r="X259" i="1"/>
  <c r="V259" i="1"/>
  <c r="T259" i="1"/>
  <c r="R259" i="1"/>
  <c r="P259" i="1"/>
  <c r="N259" i="1"/>
  <c r="L259" i="1"/>
  <c r="J259" i="1"/>
  <c r="H259" i="1"/>
  <c r="F259" i="1"/>
  <c r="D259" i="1"/>
  <c r="AH258" i="1"/>
  <c r="AF258" i="1"/>
  <c r="AD258" i="1"/>
  <c r="AB258" i="1"/>
  <c r="Y258" i="1"/>
  <c r="Z258" i="1" s="1"/>
  <c r="X258" i="1"/>
  <c r="V258" i="1"/>
  <c r="T258" i="1"/>
  <c r="R258" i="1"/>
  <c r="P258" i="1"/>
  <c r="N258" i="1"/>
  <c r="L258" i="1"/>
  <c r="J258" i="1"/>
  <c r="H258" i="1"/>
  <c r="F258" i="1"/>
  <c r="D258" i="1"/>
  <c r="AH257" i="1"/>
  <c r="AF257" i="1"/>
  <c r="AD257" i="1"/>
  <c r="AB257" i="1"/>
  <c r="Z257" i="1"/>
  <c r="Y257" i="1"/>
  <c r="X257" i="1"/>
  <c r="V257" i="1"/>
  <c r="T257" i="1"/>
  <c r="R257" i="1"/>
  <c r="P257" i="1"/>
  <c r="N257" i="1"/>
  <c r="L257" i="1"/>
  <c r="J257" i="1"/>
  <c r="H257" i="1"/>
  <c r="F257" i="1"/>
  <c r="D257" i="1"/>
  <c r="AH256" i="1"/>
  <c r="AF256" i="1"/>
  <c r="AD256" i="1"/>
  <c r="AB256" i="1"/>
  <c r="Y256" i="1"/>
  <c r="Z256" i="1" s="1"/>
  <c r="X256" i="1"/>
  <c r="V256" i="1"/>
  <c r="T256" i="1"/>
  <c r="R256" i="1"/>
  <c r="P256" i="1"/>
  <c r="N256" i="1"/>
  <c r="L256" i="1"/>
  <c r="J256" i="1"/>
  <c r="H256" i="1"/>
  <c r="F256" i="1"/>
  <c r="D256" i="1"/>
  <c r="AH254" i="1"/>
  <c r="AF254" i="1"/>
  <c r="AD254" i="1"/>
  <c r="AB254" i="1"/>
  <c r="Y254" i="1"/>
  <c r="Z254" i="1" s="1"/>
  <c r="X254" i="1"/>
  <c r="V254" i="1"/>
  <c r="T254" i="1"/>
  <c r="R254" i="1"/>
  <c r="P254" i="1"/>
  <c r="N254" i="1"/>
  <c r="L254" i="1"/>
  <c r="J254" i="1"/>
  <c r="H254" i="1"/>
  <c r="F254" i="1"/>
  <c r="D254" i="1"/>
  <c r="AH253" i="1"/>
  <c r="AF253" i="1"/>
  <c r="AD253" i="1"/>
  <c r="AB253" i="1"/>
  <c r="Y253" i="1"/>
  <c r="Z253" i="1" s="1"/>
  <c r="X253" i="1"/>
  <c r="V253" i="1"/>
  <c r="T253" i="1"/>
  <c r="R253" i="1"/>
  <c r="P253" i="1"/>
  <c r="N253" i="1"/>
  <c r="L253" i="1"/>
  <c r="J253" i="1"/>
  <c r="H253" i="1"/>
  <c r="F253" i="1"/>
  <c r="D253" i="1"/>
  <c r="AH252" i="1"/>
  <c r="AF252" i="1"/>
  <c r="AD252" i="1"/>
  <c r="AB252" i="1"/>
  <c r="Z252" i="1"/>
  <c r="Y252" i="1"/>
  <c r="X252" i="1"/>
  <c r="V252" i="1"/>
  <c r="T252" i="1"/>
  <c r="R252" i="1"/>
  <c r="P252" i="1"/>
  <c r="N252" i="1"/>
  <c r="L252" i="1"/>
  <c r="J252" i="1"/>
  <c r="H252" i="1"/>
  <c r="F252" i="1"/>
  <c r="D252" i="1"/>
  <c r="AH251" i="1"/>
  <c r="AF251" i="1"/>
  <c r="AD251" i="1"/>
  <c r="AB251" i="1"/>
  <c r="Y251" i="1"/>
  <c r="Z251" i="1" s="1"/>
  <c r="X251" i="1"/>
  <c r="V251" i="1"/>
  <c r="T251" i="1"/>
  <c r="R251" i="1"/>
  <c r="P251" i="1"/>
  <c r="N251" i="1"/>
  <c r="L251" i="1"/>
  <c r="J251" i="1"/>
  <c r="H251" i="1"/>
  <c r="F251" i="1"/>
  <c r="D251" i="1"/>
  <c r="AH250" i="1"/>
  <c r="AF250" i="1"/>
  <c r="AD250" i="1"/>
  <c r="AB250" i="1"/>
  <c r="Y250" i="1"/>
  <c r="Z250" i="1" s="1"/>
  <c r="X250" i="1"/>
  <c r="V250" i="1"/>
  <c r="T250" i="1"/>
  <c r="R250" i="1"/>
  <c r="P250" i="1"/>
  <c r="N250" i="1"/>
  <c r="L250" i="1"/>
  <c r="J250" i="1"/>
  <c r="H250" i="1"/>
  <c r="F250" i="1"/>
  <c r="D250" i="1"/>
  <c r="AH249" i="1"/>
  <c r="AF249" i="1"/>
  <c r="AD249" i="1"/>
  <c r="AB249" i="1"/>
  <c r="Y249" i="1"/>
  <c r="Z249" i="1" s="1"/>
  <c r="X249" i="1"/>
  <c r="V249" i="1"/>
  <c r="T249" i="1"/>
  <c r="R249" i="1"/>
  <c r="P249" i="1"/>
  <c r="N249" i="1"/>
  <c r="L249" i="1"/>
  <c r="J249" i="1"/>
  <c r="H249" i="1"/>
  <c r="F249" i="1"/>
  <c r="D249" i="1"/>
  <c r="AH248" i="1"/>
  <c r="AF248" i="1"/>
  <c r="AD248" i="1"/>
  <c r="AB248" i="1"/>
  <c r="Y248" i="1"/>
  <c r="Z248" i="1" s="1"/>
  <c r="X248" i="1"/>
  <c r="V248" i="1"/>
  <c r="T248" i="1"/>
  <c r="R248" i="1"/>
  <c r="P248" i="1"/>
  <c r="N248" i="1"/>
  <c r="L248" i="1"/>
  <c r="J248" i="1"/>
  <c r="H248" i="1"/>
  <c r="F248" i="1"/>
  <c r="D248" i="1"/>
  <c r="AH247" i="1"/>
  <c r="AF247" i="1"/>
  <c r="AD247" i="1"/>
  <c r="AB247" i="1"/>
  <c r="Z247" i="1"/>
  <c r="Y247" i="1"/>
  <c r="X247" i="1"/>
  <c r="V247" i="1"/>
  <c r="T247" i="1"/>
  <c r="R247" i="1"/>
  <c r="P247" i="1"/>
  <c r="N247" i="1"/>
  <c r="L247" i="1"/>
  <c r="J247" i="1"/>
  <c r="H247" i="1"/>
  <c r="F247" i="1"/>
  <c r="D247" i="1"/>
  <c r="AH246" i="1"/>
  <c r="AF246" i="1"/>
  <c r="AD246" i="1"/>
  <c r="AB246" i="1"/>
  <c r="Z246" i="1"/>
  <c r="Y246" i="1"/>
  <c r="X246" i="1"/>
  <c r="V246" i="1"/>
  <c r="T246" i="1"/>
  <c r="R246" i="1"/>
  <c r="P246" i="1"/>
  <c r="N246" i="1"/>
  <c r="L246" i="1"/>
  <c r="J246" i="1"/>
  <c r="H246" i="1"/>
  <c r="F246" i="1"/>
  <c r="D246" i="1"/>
  <c r="AH245" i="1"/>
  <c r="AF245" i="1"/>
  <c r="AD245" i="1"/>
  <c r="AB245" i="1"/>
  <c r="Y245" i="1"/>
  <c r="Z245" i="1" s="1"/>
  <c r="X245" i="1"/>
  <c r="V245" i="1"/>
  <c r="T245" i="1"/>
  <c r="R245" i="1"/>
  <c r="P245" i="1"/>
  <c r="N245" i="1"/>
  <c r="L245" i="1"/>
  <c r="J245" i="1"/>
  <c r="H245" i="1"/>
  <c r="F245" i="1"/>
  <c r="D245" i="1"/>
  <c r="AH244" i="1"/>
  <c r="AF244" i="1"/>
  <c r="AD244" i="1"/>
  <c r="AB244" i="1"/>
  <c r="Z244" i="1"/>
  <c r="Y244" i="1"/>
  <c r="X244" i="1"/>
  <c r="V244" i="1"/>
  <c r="T244" i="1"/>
  <c r="R244" i="1"/>
  <c r="P244" i="1"/>
  <c r="N244" i="1"/>
  <c r="L244" i="1"/>
  <c r="J244" i="1"/>
  <c r="H244" i="1"/>
  <c r="F244" i="1"/>
  <c r="D244" i="1"/>
  <c r="AH243" i="1"/>
  <c r="AF243" i="1"/>
  <c r="AD243" i="1"/>
  <c r="AB243" i="1"/>
  <c r="Y243" i="1"/>
  <c r="Z243" i="1" s="1"/>
  <c r="X243" i="1"/>
  <c r="V243" i="1"/>
  <c r="T243" i="1"/>
  <c r="R243" i="1"/>
  <c r="P243" i="1"/>
  <c r="N243" i="1"/>
  <c r="L243" i="1"/>
  <c r="J243" i="1"/>
  <c r="H243" i="1"/>
  <c r="F243" i="1"/>
  <c r="D243" i="1"/>
  <c r="AH242" i="1"/>
  <c r="AF242" i="1"/>
  <c r="AD242" i="1"/>
  <c r="AB242" i="1"/>
  <c r="Y242" i="1"/>
  <c r="Z242" i="1" s="1"/>
  <c r="X242" i="1"/>
  <c r="V242" i="1"/>
  <c r="T242" i="1"/>
  <c r="R242" i="1"/>
  <c r="P242" i="1"/>
  <c r="N242" i="1"/>
  <c r="L242" i="1"/>
  <c r="J242" i="1"/>
  <c r="H242" i="1"/>
  <c r="F242" i="1"/>
  <c r="D242" i="1"/>
  <c r="AH241" i="1"/>
  <c r="AF241" i="1"/>
  <c r="AD241" i="1"/>
  <c r="AB241" i="1"/>
  <c r="Y241" i="1"/>
  <c r="Z241" i="1" s="1"/>
  <c r="X241" i="1"/>
  <c r="V241" i="1"/>
  <c r="T241" i="1"/>
  <c r="R241" i="1"/>
  <c r="P241" i="1"/>
  <c r="N241" i="1"/>
  <c r="L241" i="1"/>
  <c r="J241" i="1"/>
  <c r="H241" i="1"/>
  <c r="F241" i="1"/>
  <c r="D241" i="1"/>
  <c r="AH240" i="1"/>
  <c r="AF240" i="1"/>
  <c r="AD240" i="1"/>
  <c r="AB240" i="1"/>
  <c r="Z240" i="1"/>
  <c r="Y240" i="1"/>
  <c r="X240" i="1"/>
  <c r="V240" i="1"/>
  <c r="T240" i="1"/>
  <c r="R240" i="1"/>
  <c r="P240" i="1"/>
  <c r="N240" i="1"/>
  <c r="L240" i="1"/>
  <c r="J240" i="1"/>
  <c r="H240" i="1"/>
  <c r="F240" i="1"/>
  <c r="D240" i="1"/>
  <c r="AH239" i="1"/>
  <c r="AF239" i="1"/>
  <c r="AD239" i="1"/>
  <c r="AB239" i="1"/>
  <c r="Y239" i="1"/>
  <c r="Z239" i="1" s="1"/>
  <c r="X239" i="1"/>
  <c r="V239" i="1"/>
  <c r="T239" i="1"/>
  <c r="R239" i="1"/>
  <c r="P239" i="1"/>
  <c r="N239" i="1"/>
  <c r="L239" i="1"/>
  <c r="J239" i="1"/>
  <c r="H239" i="1"/>
  <c r="F239" i="1"/>
  <c r="D239" i="1"/>
  <c r="AH238" i="1"/>
  <c r="AF238" i="1"/>
  <c r="AD238" i="1"/>
  <c r="AB238" i="1"/>
  <c r="Y238" i="1"/>
  <c r="Z238" i="1" s="1"/>
  <c r="X238" i="1"/>
  <c r="V238" i="1"/>
  <c r="T238" i="1"/>
  <c r="R238" i="1"/>
  <c r="P238" i="1"/>
  <c r="N238" i="1"/>
  <c r="L238" i="1"/>
  <c r="J238" i="1"/>
  <c r="H238" i="1"/>
  <c r="F238" i="1"/>
  <c r="D238" i="1"/>
  <c r="AH237" i="1"/>
  <c r="AF237" i="1"/>
  <c r="AD237" i="1"/>
  <c r="AB237" i="1"/>
  <c r="Y237" i="1"/>
  <c r="Z237" i="1" s="1"/>
  <c r="X237" i="1"/>
  <c r="V237" i="1"/>
  <c r="T237" i="1"/>
  <c r="R237" i="1"/>
  <c r="P237" i="1"/>
  <c r="N237" i="1"/>
  <c r="L237" i="1"/>
  <c r="J237" i="1"/>
  <c r="H237" i="1"/>
  <c r="F237" i="1"/>
  <c r="D237" i="1"/>
  <c r="AH236" i="1"/>
  <c r="AF236" i="1"/>
  <c r="AD236" i="1"/>
  <c r="AB236" i="1"/>
  <c r="Y236" i="1"/>
  <c r="Z236" i="1" s="1"/>
  <c r="X236" i="1"/>
  <c r="V236" i="1"/>
  <c r="T236" i="1"/>
  <c r="R236" i="1"/>
  <c r="P236" i="1"/>
  <c r="N236" i="1"/>
  <c r="L236" i="1"/>
  <c r="J236" i="1"/>
  <c r="H236" i="1"/>
  <c r="F236" i="1"/>
  <c r="D236" i="1"/>
  <c r="AH235" i="1"/>
  <c r="AF235" i="1"/>
  <c r="AD235" i="1"/>
  <c r="AB235" i="1"/>
  <c r="Z235" i="1"/>
  <c r="Y235" i="1"/>
  <c r="X235" i="1"/>
  <c r="V235" i="1"/>
  <c r="T235" i="1"/>
  <c r="R235" i="1"/>
  <c r="P235" i="1"/>
  <c r="N235" i="1"/>
  <c r="L235" i="1"/>
  <c r="J235" i="1"/>
  <c r="H235" i="1"/>
  <c r="F235" i="1"/>
  <c r="D235" i="1"/>
  <c r="AH234" i="1"/>
  <c r="AF234" i="1"/>
  <c r="AD234" i="1"/>
  <c r="AB234" i="1"/>
  <c r="Z234" i="1"/>
  <c r="Y234" i="1"/>
  <c r="X234" i="1"/>
  <c r="V234" i="1"/>
  <c r="T234" i="1"/>
  <c r="R234" i="1"/>
  <c r="P234" i="1"/>
  <c r="N234" i="1"/>
  <c r="L234" i="1"/>
  <c r="J234" i="1"/>
  <c r="H234" i="1"/>
  <c r="F234" i="1"/>
  <c r="D234" i="1"/>
  <c r="AH233" i="1"/>
  <c r="AF233" i="1"/>
  <c r="AD233" i="1"/>
  <c r="AB233" i="1"/>
  <c r="Y233" i="1"/>
  <c r="Z233" i="1" s="1"/>
  <c r="X233" i="1"/>
  <c r="V233" i="1"/>
  <c r="T233" i="1"/>
  <c r="R233" i="1"/>
  <c r="P233" i="1"/>
  <c r="N233" i="1"/>
  <c r="L233" i="1"/>
  <c r="J233" i="1"/>
  <c r="H233" i="1"/>
  <c r="F233" i="1"/>
  <c r="D233" i="1"/>
  <c r="AH232" i="1"/>
  <c r="AF232" i="1"/>
  <c r="AD232" i="1"/>
  <c r="AB232" i="1"/>
  <c r="Z232" i="1"/>
  <c r="Y232" i="1"/>
  <c r="X232" i="1"/>
  <c r="V232" i="1"/>
  <c r="T232" i="1"/>
  <c r="R232" i="1"/>
  <c r="P232" i="1"/>
  <c r="N232" i="1"/>
  <c r="L232" i="1"/>
  <c r="J232" i="1"/>
  <c r="H232" i="1"/>
  <c r="F232" i="1"/>
  <c r="D232" i="1"/>
  <c r="AH231" i="1"/>
  <c r="AF231" i="1"/>
  <c r="AD231" i="1"/>
  <c r="AB231" i="1"/>
  <c r="Y231" i="1"/>
  <c r="Z231" i="1" s="1"/>
  <c r="X231" i="1"/>
  <c r="V231" i="1"/>
  <c r="T231" i="1"/>
  <c r="R231" i="1"/>
  <c r="P231" i="1"/>
  <c r="N231" i="1"/>
  <c r="L231" i="1"/>
  <c r="J231" i="1"/>
  <c r="H231" i="1"/>
  <c r="F231" i="1"/>
  <c r="D231" i="1"/>
  <c r="AH230" i="1"/>
  <c r="AF230" i="1"/>
  <c r="AD230" i="1"/>
  <c r="AB230" i="1"/>
  <c r="Y230" i="1"/>
  <c r="Z230" i="1" s="1"/>
  <c r="X230" i="1"/>
  <c r="V230" i="1"/>
  <c r="T230" i="1"/>
  <c r="R230" i="1"/>
  <c r="P230" i="1"/>
  <c r="N230" i="1"/>
  <c r="L230" i="1"/>
  <c r="J230" i="1"/>
  <c r="H230" i="1"/>
  <c r="F230" i="1"/>
  <c r="D230" i="1"/>
  <c r="AH229" i="1"/>
  <c r="AF229" i="1"/>
  <c r="AD229" i="1"/>
  <c r="AB229" i="1"/>
  <c r="Y229" i="1"/>
  <c r="Z229" i="1" s="1"/>
  <c r="X229" i="1"/>
  <c r="V229" i="1"/>
  <c r="T229" i="1"/>
  <c r="R229" i="1"/>
  <c r="P229" i="1"/>
  <c r="N229" i="1"/>
  <c r="L229" i="1"/>
  <c r="J229" i="1"/>
  <c r="H229" i="1"/>
  <c r="F229" i="1"/>
  <c r="D229" i="1"/>
  <c r="AH228" i="1"/>
  <c r="AF228" i="1"/>
  <c r="AD228" i="1"/>
  <c r="AB228" i="1"/>
  <c r="Z228" i="1"/>
  <c r="Y228" i="1"/>
  <c r="X228" i="1"/>
  <c r="V228" i="1"/>
  <c r="T228" i="1"/>
  <c r="R228" i="1"/>
  <c r="P228" i="1"/>
  <c r="N228" i="1"/>
  <c r="L228" i="1"/>
  <c r="J228" i="1"/>
  <c r="H228" i="1"/>
  <c r="F228" i="1"/>
  <c r="D228" i="1"/>
  <c r="AH227" i="1"/>
  <c r="AF227" i="1"/>
  <c r="AD227" i="1"/>
  <c r="AB227" i="1"/>
  <c r="Y227" i="1"/>
  <c r="Z227" i="1" s="1"/>
  <c r="X227" i="1"/>
  <c r="V227" i="1"/>
  <c r="T227" i="1"/>
  <c r="R227" i="1"/>
  <c r="P227" i="1"/>
  <c r="N227" i="1"/>
  <c r="L227" i="1"/>
  <c r="J227" i="1"/>
  <c r="H227" i="1"/>
  <c r="F227" i="1"/>
  <c r="D227" i="1"/>
  <c r="AH226" i="1"/>
  <c r="AF226" i="1"/>
  <c r="AD226" i="1"/>
  <c r="AB226" i="1"/>
  <c r="Y226" i="1"/>
  <c r="Z226" i="1" s="1"/>
  <c r="X226" i="1"/>
  <c r="V226" i="1"/>
  <c r="T226" i="1"/>
  <c r="R226" i="1"/>
  <c r="P226" i="1"/>
  <c r="N226" i="1"/>
  <c r="L226" i="1"/>
  <c r="J226" i="1"/>
  <c r="H226" i="1"/>
  <c r="F226" i="1"/>
  <c r="D226" i="1"/>
  <c r="AH225" i="1"/>
  <c r="AF225" i="1"/>
  <c r="AD225" i="1"/>
  <c r="AB225" i="1"/>
  <c r="Y225" i="1"/>
  <c r="Z225" i="1" s="1"/>
  <c r="X225" i="1"/>
  <c r="V225" i="1"/>
  <c r="T225" i="1"/>
  <c r="R225" i="1"/>
  <c r="P225" i="1"/>
  <c r="N225" i="1"/>
  <c r="L225" i="1"/>
  <c r="J225" i="1"/>
  <c r="H225" i="1"/>
  <c r="F225" i="1"/>
  <c r="D225" i="1"/>
  <c r="AH224" i="1"/>
  <c r="AF224" i="1"/>
  <c r="AD224" i="1"/>
  <c r="AB224" i="1"/>
  <c r="Y224" i="1"/>
  <c r="Z224" i="1" s="1"/>
  <c r="X224" i="1"/>
  <c r="V224" i="1"/>
  <c r="T224" i="1"/>
  <c r="R224" i="1"/>
  <c r="P224" i="1"/>
  <c r="N224" i="1"/>
  <c r="L224" i="1"/>
  <c r="J224" i="1"/>
  <c r="H224" i="1"/>
  <c r="F224" i="1"/>
  <c r="D224" i="1"/>
  <c r="AH223" i="1"/>
  <c r="AF223" i="1"/>
  <c r="AD223" i="1"/>
  <c r="AB223" i="1"/>
  <c r="Y223" i="1"/>
  <c r="Z223" i="1" s="1"/>
  <c r="X223" i="1"/>
  <c r="V223" i="1"/>
  <c r="T223" i="1"/>
  <c r="R223" i="1"/>
  <c r="P223" i="1"/>
  <c r="N223" i="1"/>
  <c r="L223" i="1"/>
  <c r="J223" i="1"/>
  <c r="H223" i="1"/>
  <c r="F223" i="1"/>
  <c r="D223" i="1"/>
  <c r="AH222" i="1"/>
  <c r="AF222" i="1"/>
  <c r="AD222" i="1"/>
  <c r="AB222" i="1"/>
  <c r="Z222" i="1"/>
  <c r="Y222" i="1"/>
  <c r="X222" i="1"/>
  <c r="V222" i="1"/>
  <c r="T222" i="1"/>
  <c r="R222" i="1"/>
  <c r="P222" i="1"/>
  <c r="N222" i="1"/>
  <c r="L222" i="1"/>
  <c r="J222" i="1"/>
  <c r="H222" i="1"/>
  <c r="F222" i="1"/>
  <c r="D222" i="1"/>
  <c r="AH219" i="1"/>
  <c r="AF219" i="1"/>
  <c r="AD219" i="1"/>
  <c r="AB219" i="1"/>
  <c r="Y219" i="1"/>
  <c r="Z219" i="1" s="1"/>
  <c r="X219" i="1"/>
  <c r="V219" i="1"/>
  <c r="T219" i="1"/>
  <c r="R219" i="1"/>
  <c r="P219" i="1"/>
  <c r="N219" i="1"/>
  <c r="L219" i="1"/>
  <c r="J219" i="1"/>
  <c r="H219" i="1"/>
  <c r="F219" i="1"/>
  <c r="D219" i="1"/>
  <c r="AH218" i="1"/>
  <c r="AF218" i="1"/>
  <c r="AD218" i="1"/>
  <c r="AB218" i="1"/>
  <c r="Z218" i="1"/>
  <c r="Y218" i="1"/>
  <c r="X218" i="1"/>
  <c r="V218" i="1"/>
  <c r="T218" i="1"/>
  <c r="R218" i="1"/>
  <c r="P218" i="1"/>
  <c r="N218" i="1"/>
  <c r="L218" i="1"/>
  <c r="J218" i="1"/>
  <c r="H218" i="1"/>
  <c r="F218" i="1"/>
  <c r="D218" i="1"/>
  <c r="AH217" i="1"/>
  <c r="AF217" i="1"/>
  <c r="AD217" i="1"/>
  <c r="AB217" i="1"/>
  <c r="Y217" i="1"/>
  <c r="Z217" i="1" s="1"/>
  <c r="X217" i="1"/>
  <c r="V217" i="1"/>
  <c r="T217" i="1"/>
  <c r="R217" i="1"/>
  <c r="P217" i="1"/>
  <c r="N217" i="1"/>
  <c r="L217" i="1"/>
  <c r="J217" i="1"/>
  <c r="H217" i="1"/>
  <c r="F217" i="1"/>
  <c r="D217" i="1"/>
  <c r="Y216" i="1"/>
  <c r="AH215" i="1"/>
  <c r="AF215" i="1"/>
  <c r="AD215" i="1"/>
  <c r="AB215" i="1"/>
  <c r="Y215" i="1"/>
  <c r="Z215" i="1" s="1"/>
  <c r="X215" i="1"/>
  <c r="V215" i="1"/>
  <c r="T215" i="1"/>
  <c r="R215" i="1"/>
  <c r="P215" i="1"/>
  <c r="N215" i="1"/>
  <c r="L215" i="1"/>
  <c r="J215" i="1"/>
  <c r="H215" i="1"/>
  <c r="F215" i="1"/>
  <c r="D215" i="1"/>
  <c r="AH214" i="1"/>
  <c r="AF214" i="1"/>
  <c r="AD214" i="1"/>
  <c r="AB214" i="1"/>
  <c r="Y214" i="1"/>
  <c r="Z214" i="1" s="1"/>
  <c r="X214" i="1"/>
  <c r="V214" i="1"/>
  <c r="T214" i="1"/>
  <c r="R214" i="1"/>
  <c r="P214" i="1"/>
  <c r="N214" i="1"/>
  <c r="L214" i="1"/>
  <c r="J214" i="1"/>
  <c r="H214" i="1"/>
  <c r="F214" i="1"/>
  <c r="D214" i="1"/>
  <c r="AH213" i="1"/>
  <c r="AF213" i="1"/>
  <c r="AD213" i="1"/>
  <c r="AB213" i="1"/>
  <c r="Y213" i="1"/>
  <c r="Z213" i="1" s="1"/>
  <c r="X213" i="1"/>
  <c r="V213" i="1"/>
  <c r="T213" i="1"/>
  <c r="R213" i="1"/>
  <c r="P213" i="1"/>
  <c r="N213" i="1"/>
  <c r="L213" i="1"/>
  <c r="J213" i="1"/>
  <c r="H213" i="1"/>
  <c r="F213" i="1"/>
  <c r="D213" i="1"/>
  <c r="AH212" i="1"/>
  <c r="AF212" i="1"/>
  <c r="AD212" i="1"/>
  <c r="AB212" i="1"/>
  <c r="Z212" i="1"/>
  <c r="Y212" i="1"/>
  <c r="X212" i="1"/>
  <c r="V212" i="1"/>
  <c r="T212" i="1"/>
  <c r="R212" i="1"/>
  <c r="P212" i="1"/>
  <c r="N212" i="1"/>
  <c r="L212" i="1"/>
  <c r="J212" i="1"/>
  <c r="H212" i="1"/>
  <c r="F212" i="1"/>
  <c r="D212" i="1"/>
  <c r="AH211" i="1"/>
  <c r="AF211" i="1"/>
  <c r="AD211" i="1"/>
  <c r="AB211" i="1"/>
  <c r="Y211" i="1"/>
  <c r="Z211" i="1" s="1"/>
  <c r="X211" i="1"/>
  <c r="V211" i="1"/>
  <c r="T211" i="1"/>
  <c r="R211" i="1"/>
  <c r="P211" i="1"/>
  <c r="N211" i="1"/>
  <c r="L211" i="1"/>
  <c r="J211" i="1"/>
  <c r="H211" i="1"/>
  <c r="F211" i="1"/>
  <c r="D211" i="1"/>
  <c r="AH210" i="1"/>
  <c r="AF210" i="1"/>
  <c r="AD210" i="1"/>
  <c r="AB210" i="1"/>
  <c r="Z210" i="1"/>
  <c r="X210" i="1"/>
  <c r="V210" i="1"/>
  <c r="T210" i="1"/>
  <c r="R210" i="1"/>
  <c r="P210" i="1"/>
  <c r="N210" i="1"/>
  <c r="L210" i="1"/>
  <c r="J210" i="1"/>
  <c r="H210" i="1"/>
  <c r="F210" i="1"/>
  <c r="D210" i="1"/>
  <c r="AH209" i="1"/>
  <c r="AF209" i="1"/>
  <c r="AD209" i="1"/>
  <c r="AB209" i="1"/>
  <c r="Z209" i="1"/>
  <c r="X209" i="1"/>
  <c r="V209" i="1"/>
  <c r="T209" i="1"/>
  <c r="R209" i="1"/>
  <c r="P209" i="1"/>
  <c r="N209" i="1"/>
  <c r="L209" i="1"/>
  <c r="J209" i="1"/>
  <c r="H209" i="1"/>
  <c r="F209" i="1"/>
  <c r="D209" i="1"/>
  <c r="AH208" i="1"/>
  <c r="AF208" i="1"/>
  <c r="AD208" i="1"/>
  <c r="AB208" i="1"/>
  <c r="Z208" i="1"/>
  <c r="X208" i="1"/>
  <c r="V208" i="1"/>
  <c r="T208" i="1"/>
  <c r="R208" i="1"/>
  <c r="P208" i="1"/>
  <c r="N208" i="1"/>
  <c r="L208" i="1"/>
  <c r="J208" i="1"/>
  <c r="H208" i="1"/>
  <c r="F208" i="1"/>
  <c r="D208" i="1"/>
  <c r="AH207" i="1"/>
  <c r="AF207" i="1"/>
  <c r="AD207" i="1"/>
  <c r="AB207" i="1"/>
  <c r="Z207" i="1"/>
  <c r="X207" i="1"/>
  <c r="V207" i="1"/>
  <c r="T207" i="1"/>
  <c r="R207" i="1"/>
  <c r="P207" i="1"/>
  <c r="N207" i="1"/>
  <c r="L207" i="1"/>
  <c r="J207" i="1"/>
  <c r="H207" i="1"/>
  <c r="F207" i="1"/>
  <c r="D207" i="1"/>
  <c r="AH206" i="1"/>
  <c r="AF206" i="1"/>
  <c r="AD206" i="1"/>
  <c r="AB206" i="1"/>
  <c r="Z206" i="1"/>
  <c r="X206" i="1"/>
  <c r="V206" i="1"/>
  <c r="T206" i="1"/>
  <c r="R206" i="1"/>
  <c r="P206" i="1"/>
  <c r="N206" i="1"/>
  <c r="L206" i="1"/>
  <c r="J206" i="1"/>
  <c r="H206" i="1"/>
  <c r="F206" i="1"/>
  <c r="D206" i="1"/>
  <c r="AH205" i="1"/>
  <c r="AF205" i="1"/>
  <c r="AD205" i="1"/>
  <c r="AB205" i="1"/>
  <c r="Z205" i="1"/>
  <c r="X205" i="1"/>
  <c r="V205" i="1"/>
  <c r="T205" i="1"/>
  <c r="R205" i="1"/>
  <c r="P205" i="1"/>
  <c r="N205" i="1"/>
  <c r="L205" i="1"/>
  <c r="J205" i="1"/>
  <c r="H205" i="1"/>
  <c r="F205" i="1"/>
  <c r="D205" i="1"/>
  <c r="AH204" i="1"/>
  <c r="AF204" i="1"/>
  <c r="AD204" i="1"/>
  <c r="AB204" i="1"/>
  <c r="Z204" i="1"/>
  <c r="X204" i="1"/>
  <c r="V204" i="1"/>
  <c r="T204" i="1"/>
  <c r="R204" i="1"/>
  <c r="P204" i="1"/>
  <c r="N204" i="1"/>
  <c r="L204" i="1"/>
  <c r="J204" i="1"/>
  <c r="H204" i="1"/>
  <c r="F204" i="1"/>
  <c r="D204" i="1"/>
  <c r="Y203" i="1"/>
  <c r="AH202" i="1"/>
  <c r="AF202" i="1"/>
  <c r="AD202" i="1"/>
  <c r="AB202" i="1"/>
  <c r="Z202" i="1"/>
  <c r="X202" i="1"/>
  <c r="V202" i="1"/>
  <c r="T202" i="1"/>
  <c r="R202" i="1"/>
  <c r="P202" i="1"/>
  <c r="N202" i="1"/>
  <c r="L202" i="1"/>
  <c r="J202" i="1"/>
  <c r="H202" i="1"/>
  <c r="F202" i="1"/>
  <c r="D202" i="1"/>
  <c r="AH201" i="1"/>
  <c r="AF201" i="1"/>
  <c r="AD201" i="1"/>
  <c r="AB201" i="1"/>
  <c r="Z201" i="1"/>
  <c r="X201" i="1"/>
  <c r="V201" i="1"/>
  <c r="T201" i="1"/>
  <c r="R201" i="1"/>
  <c r="P201" i="1"/>
  <c r="N201" i="1"/>
  <c r="L201" i="1"/>
  <c r="J201" i="1"/>
  <c r="H201" i="1"/>
  <c r="F201" i="1"/>
  <c r="D201" i="1"/>
  <c r="AH200" i="1"/>
  <c r="AF200" i="1"/>
  <c r="AD200" i="1"/>
  <c r="AB200" i="1"/>
  <c r="Z200" i="1"/>
  <c r="X200" i="1"/>
  <c r="V200" i="1"/>
  <c r="T200" i="1"/>
  <c r="R200" i="1"/>
  <c r="P200" i="1"/>
  <c r="N200" i="1"/>
  <c r="L200" i="1"/>
  <c r="J200" i="1"/>
  <c r="H200" i="1"/>
  <c r="F200" i="1"/>
  <c r="D200" i="1"/>
  <c r="AH199" i="1"/>
  <c r="AF199" i="1"/>
  <c r="AD199" i="1"/>
  <c r="AB199" i="1"/>
  <c r="Z199" i="1"/>
  <c r="X199" i="1"/>
  <c r="V199" i="1"/>
  <c r="T199" i="1"/>
  <c r="R199" i="1"/>
  <c r="P199" i="1"/>
  <c r="N199" i="1"/>
  <c r="L199" i="1"/>
  <c r="J199" i="1"/>
  <c r="H199" i="1"/>
  <c r="F199" i="1"/>
  <c r="D199" i="1"/>
  <c r="AH198" i="1"/>
  <c r="AF198" i="1"/>
  <c r="AD198" i="1"/>
  <c r="AB198" i="1"/>
  <c r="Z198" i="1"/>
  <c r="X198" i="1"/>
  <c r="V198" i="1"/>
  <c r="T198" i="1"/>
  <c r="R198" i="1"/>
  <c r="P198" i="1"/>
  <c r="N198" i="1"/>
  <c r="L198" i="1"/>
  <c r="J198" i="1"/>
  <c r="H198" i="1"/>
  <c r="F198" i="1"/>
  <c r="D198" i="1"/>
  <c r="AH197" i="1"/>
  <c r="AF197" i="1"/>
  <c r="AD197" i="1"/>
  <c r="AB197" i="1"/>
  <c r="Z197" i="1"/>
  <c r="X197" i="1"/>
  <c r="V197" i="1"/>
  <c r="T197" i="1"/>
  <c r="R197" i="1"/>
  <c r="P197" i="1"/>
  <c r="N197" i="1"/>
  <c r="L197" i="1"/>
  <c r="J197" i="1"/>
  <c r="H197" i="1"/>
  <c r="F197" i="1"/>
  <c r="D197" i="1"/>
  <c r="AH196" i="1"/>
  <c r="AF196" i="1"/>
  <c r="AD196" i="1"/>
  <c r="AB196" i="1"/>
  <c r="Y196" i="1"/>
  <c r="Z196" i="1" s="1"/>
  <c r="X196" i="1"/>
  <c r="V196" i="1"/>
  <c r="T196" i="1"/>
  <c r="R196" i="1"/>
  <c r="P196" i="1"/>
  <c r="N196" i="1"/>
  <c r="L196" i="1"/>
  <c r="J196" i="1"/>
  <c r="H196" i="1"/>
  <c r="F196" i="1"/>
  <c r="D196" i="1"/>
  <c r="AH195" i="1"/>
  <c r="AF195" i="1"/>
  <c r="AD195" i="1"/>
  <c r="AB195" i="1"/>
  <c r="Z195" i="1"/>
  <c r="X195" i="1"/>
  <c r="V195" i="1"/>
  <c r="T195" i="1"/>
  <c r="R195" i="1"/>
  <c r="P195" i="1"/>
  <c r="N195" i="1"/>
  <c r="L195" i="1"/>
  <c r="J195" i="1"/>
  <c r="H195" i="1"/>
  <c r="F195" i="1"/>
  <c r="D195" i="1"/>
  <c r="AH194" i="1"/>
  <c r="AF194" i="1"/>
  <c r="AD194" i="1"/>
  <c r="AB194" i="1"/>
  <c r="Z194" i="1"/>
  <c r="X194" i="1"/>
  <c r="V194" i="1"/>
  <c r="T194" i="1"/>
  <c r="R194" i="1"/>
  <c r="P194" i="1"/>
  <c r="N194" i="1"/>
  <c r="L194" i="1"/>
  <c r="J194" i="1"/>
  <c r="H194" i="1"/>
  <c r="F194" i="1"/>
  <c r="D194" i="1"/>
  <c r="AH193" i="1"/>
  <c r="AF193" i="1"/>
  <c r="AD193" i="1"/>
  <c r="AB193" i="1"/>
  <c r="Z193" i="1"/>
  <c r="X193" i="1"/>
  <c r="V193" i="1"/>
  <c r="T193" i="1"/>
  <c r="R193" i="1"/>
  <c r="P193" i="1"/>
  <c r="N193" i="1"/>
  <c r="L193" i="1"/>
  <c r="J193" i="1"/>
  <c r="H193" i="1"/>
  <c r="F193" i="1"/>
  <c r="D193" i="1"/>
  <c r="AH192" i="1"/>
  <c r="AF192" i="1"/>
  <c r="AD192" i="1"/>
  <c r="AB192" i="1"/>
  <c r="Z192" i="1"/>
  <c r="X192" i="1"/>
  <c r="V192" i="1"/>
  <c r="T192" i="1"/>
  <c r="R192" i="1"/>
  <c r="P192" i="1"/>
  <c r="N192" i="1"/>
  <c r="L192" i="1"/>
  <c r="J192" i="1"/>
  <c r="H192" i="1"/>
  <c r="F192" i="1"/>
  <c r="D192" i="1"/>
  <c r="AH191" i="1"/>
  <c r="AF191" i="1"/>
  <c r="AD191" i="1"/>
  <c r="AB191" i="1"/>
  <c r="Z191" i="1"/>
  <c r="X191" i="1"/>
  <c r="V191" i="1"/>
  <c r="T191" i="1"/>
  <c r="R191" i="1"/>
  <c r="P191" i="1"/>
  <c r="N191" i="1"/>
  <c r="L191" i="1"/>
  <c r="J191" i="1"/>
  <c r="H191" i="1"/>
  <c r="F191" i="1"/>
  <c r="D191" i="1"/>
  <c r="Y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Y177" i="1"/>
  <c r="T176" i="1"/>
  <c r="T175" i="1"/>
  <c r="T174" i="1"/>
  <c r="T173" i="1"/>
  <c r="T172" i="1"/>
  <c r="T171" i="1"/>
  <c r="T170" i="1"/>
  <c r="T169" i="1"/>
  <c r="T168" i="1"/>
  <c r="T167" i="1"/>
  <c r="T166" i="1"/>
  <c r="AH165" i="1"/>
  <c r="AF165" i="1"/>
  <c r="AD165" i="1"/>
  <c r="AB165" i="1"/>
  <c r="Y165" i="1"/>
  <c r="Z165" i="1" s="1"/>
  <c r="X165" i="1"/>
  <c r="V165" i="1"/>
  <c r="T165" i="1"/>
  <c r="R165" i="1"/>
  <c r="P165" i="1"/>
  <c r="N165" i="1"/>
  <c r="L165" i="1"/>
  <c r="J165" i="1"/>
  <c r="H165" i="1"/>
  <c r="F165" i="1"/>
  <c r="D165" i="1"/>
  <c r="Y164" i="1"/>
  <c r="AH163" i="1"/>
  <c r="AF163" i="1"/>
  <c r="AD163" i="1"/>
  <c r="AB163" i="1"/>
  <c r="Y163" i="1"/>
  <c r="Z163" i="1" s="1"/>
  <c r="X163" i="1"/>
  <c r="V163" i="1"/>
  <c r="T163" i="1"/>
  <c r="R163" i="1"/>
  <c r="P163" i="1"/>
  <c r="N163" i="1"/>
  <c r="L163" i="1"/>
  <c r="J163" i="1"/>
  <c r="H163" i="1"/>
  <c r="F163" i="1"/>
  <c r="AH162" i="1"/>
  <c r="AF162" i="1"/>
  <c r="AD162" i="1"/>
  <c r="AB162" i="1"/>
  <c r="Y162" i="1"/>
  <c r="Z162" i="1" s="1"/>
  <c r="X162" i="1"/>
  <c r="V162" i="1"/>
  <c r="T162" i="1"/>
  <c r="R162" i="1"/>
  <c r="P162" i="1"/>
  <c r="N162" i="1"/>
  <c r="L162" i="1"/>
  <c r="J162" i="1"/>
  <c r="H162" i="1"/>
  <c r="F162" i="1"/>
  <c r="D162" i="1"/>
  <c r="T159" i="1"/>
  <c r="T158" i="1"/>
  <c r="T157" i="1"/>
  <c r="T156" i="1"/>
  <c r="T155" i="1"/>
  <c r="AH154" i="1"/>
  <c r="AF154" i="1"/>
  <c r="AD154" i="1"/>
  <c r="AB154" i="1"/>
  <c r="Y154" i="1"/>
  <c r="Z154" i="1" s="1"/>
  <c r="X154" i="1"/>
  <c r="V154" i="1"/>
  <c r="T154" i="1"/>
  <c r="R154" i="1"/>
  <c r="P154" i="1"/>
  <c r="N154" i="1"/>
  <c r="L154" i="1"/>
  <c r="J154" i="1"/>
  <c r="H154" i="1"/>
  <c r="F154" i="1"/>
  <c r="D154" i="1"/>
  <c r="AH153" i="1"/>
  <c r="AF153" i="1"/>
  <c r="AD153" i="1"/>
  <c r="AB153" i="1"/>
  <c r="Z153" i="1"/>
  <c r="Y153" i="1"/>
  <c r="X153" i="1"/>
  <c r="T153" i="1"/>
  <c r="F153" i="1"/>
  <c r="AH152" i="1"/>
  <c r="AF152" i="1"/>
  <c r="AD152" i="1"/>
  <c r="AB152" i="1"/>
  <c r="Y152" i="1"/>
  <c r="Z152" i="1" s="1"/>
  <c r="X152" i="1"/>
  <c r="T152" i="1"/>
  <c r="P152" i="1"/>
  <c r="N152" i="1"/>
  <c r="L152" i="1"/>
  <c r="J152" i="1"/>
  <c r="H152" i="1"/>
  <c r="F152" i="1"/>
  <c r="D152" i="1"/>
  <c r="AI150" i="1"/>
  <c r="X150" i="1"/>
  <c r="S150" i="1"/>
  <c r="T150" i="1" s="1"/>
  <c r="P150" i="1"/>
  <c r="N150" i="1"/>
  <c r="C150" i="1"/>
  <c r="D150" i="1" s="1"/>
  <c r="B150" i="1"/>
  <c r="H150" i="1" s="1"/>
  <c r="T149" i="1"/>
  <c r="R149" i="1"/>
  <c r="L149" i="1"/>
  <c r="AH148" i="1"/>
  <c r="AF148" i="1"/>
  <c r="AD148" i="1"/>
  <c r="AB148" i="1"/>
  <c r="Y148" i="1"/>
  <c r="Z148" i="1" s="1"/>
  <c r="X148" i="1"/>
  <c r="V148" i="1"/>
  <c r="T148" i="1"/>
  <c r="R148" i="1"/>
  <c r="P148" i="1"/>
  <c r="N148" i="1"/>
  <c r="L148" i="1"/>
  <c r="J148" i="1"/>
  <c r="H148" i="1"/>
  <c r="F148" i="1"/>
  <c r="D148" i="1"/>
  <c r="AH147" i="1"/>
  <c r="AF147" i="1"/>
  <c r="AD147" i="1"/>
  <c r="AB147" i="1"/>
  <c r="Z147" i="1"/>
  <c r="Y147" i="1"/>
  <c r="X147" i="1"/>
  <c r="V147" i="1"/>
  <c r="T147" i="1"/>
  <c r="R147" i="1"/>
  <c r="P147" i="1"/>
  <c r="N147" i="1"/>
  <c r="L147" i="1"/>
  <c r="J147" i="1"/>
  <c r="H147" i="1"/>
  <c r="F147" i="1"/>
  <c r="D147" i="1"/>
  <c r="AH146" i="1"/>
  <c r="AF146" i="1"/>
  <c r="AD146" i="1"/>
  <c r="AB146" i="1"/>
  <c r="Y146" i="1"/>
  <c r="Z146" i="1" s="1"/>
  <c r="X146" i="1"/>
  <c r="V146" i="1"/>
  <c r="T146" i="1"/>
  <c r="R146" i="1"/>
  <c r="P146" i="1"/>
  <c r="N146" i="1"/>
  <c r="L146" i="1"/>
  <c r="J146" i="1"/>
  <c r="H146" i="1"/>
  <c r="F146" i="1"/>
  <c r="D146" i="1"/>
  <c r="AI145" i="1"/>
  <c r="AG145" i="1"/>
  <c r="AH145" i="1" s="1"/>
  <c r="AE145" i="1"/>
  <c r="AF145" i="1" s="1"/>
  <c r="AC145" i="1"/>
  <c r="AD145" i="1" s="1"/>
  <c r="AB145" i="1"/>
  <c r="X145" i="1"/>
  <c r="V145" i="1"/>
  <c r="T145" i="1"/>
  <c r="R145" i="1"/>
  <c r="O145" i="1"/>
  <c r="P145" i="1" s="1"/>
  <c r="M145" i="1"/>
  <c r="N145" i="1" s="1"/>
  <c r="L145" i="1"/>
  <c r="K145" i="1"/>
  <c r="J145" i="1"/>
  <c r="G145" i="1"/>
  <c r="H145" i="1" s="1"/>
  <c r="F145" i="1"/>
  <c r="D145" i="1"/>
  <c r="AH144" i="1"/>
  <c r="AF144" i="1"/>
  <c r="AD144" i="1"/>
  <c r="AB144" i="1"/>
  <c r="Y144" i="1"/>
  <c r="Z144" i="1" s="1"/>
  <c r="X144" i="1"/>
  <c r="V144" i="1"/>
  <c r="T144" i="1"/>
  <c r="R144" i="1"/>
  <c r="P144" i="1"/>
  <c r="N144" i="1"/>
  <c r="L144" i="1"/>
  <c r="J144" i="1"/>
  <c r="H144" i="1"/>
  <c r="F144" i="1"/>
  <c r="D144" i="1"/>
  <c r="AH143" i="1"/>
  <c r="AF143" i="1"/>
  <c r="AD143" i="1"/>
  <c r="AB143" i="1"/>
  <c r="Z143" i="1"/>
  <c r="Y143" i="1"/>
  <c r="X143" i="1"/>
  <c r="V143" i="1"/>
  <c r="T143" i="1"/>
  <c r="R143" i="1"/>
  <c r="P143" i="1"/>
  <c r="N143" i="1"/>
  <c r="L143" i="1"/>
  <c r="J143" i="1"/>
  <c r="H143" i="1"/>
  <c r="F143" i="1"/>
  <c r="D143" i="1"/>
  <c r="AH142" i="1"/>
  <c r="AF142" i="1"/>
  <c r="AD142" i="1"/>
  <c r="AB142" i="1"/>
  <c r="Y142" i="1"/>
  <c r="Z142" i="1" s="1"/>
  <c r="X142" i="1"/>
  <c r="V142" i="1"/>
  <c r="T142" i="1"/>
  <c r="R142" i="1"/>
  <c r="P142" i="1"/>
  <c r="N142" i="1"/>
  <c r="L142" i="1"/>
  <c r="J142" i="1"/>
  <c r="H142" i="1"/>
  <c r="F142" i="1"/>
  <c r="D142" i="1"/>
  <c r="AH141" i="1"/>
  <c r="AF141" i="1"/>
  <c r="AD141" i="1"/>
  <c r="AB141" i="1"/>
  <c r="Y141" i="1"/>
  <c r="Z141" i="1" s="1"/>
  <c r="X141" i="1"/>
  <c r="V141" i="1"/>
  <c r="T141" i="1"/>
  <c r="R141" i="1"/>
  <c r="P141" i="1"/>
  <c r="N141" i="1"/>
  <c r="L141" i="1"/>
  <c r="J141" i="1"/>
  <c r="H141" i="1"/>
  <c r="F141" i="1"/>
  <c r="D141" i="1"/>
  <c r="AH140" i="1"/>
  <c r="AF140" i="1"/>
  <c r="AD140" i="1"/>
  <c r="AB140" i="1"/>
  <c r="Y140" i="1"/>
  <c r="Z140" i="1" s="1"/>
  <c r="X140" i="1"/>
  <c r="V140" i="1"/>
  <c r="T140" i="1"/>
  <c r="R140" i="1"/>
  <c r="P140" i="1"/>
  <c r="N140" i="1"/>
  <c r="L140" i="1"/>
  <c r="J140" i="1"/>
  <c r="H140" i="1"/>
  <c r="F140" i="1"/>
  <c r="D140" i="1"/>
  <c r="AH139" i="1"/>
  <c r="AF139" i="1"/>
  <c r="AD139" i="1"/>
  <c r="AB139" i="1"/>
  <c r="Z139" i="1"/>
  <c r="Y139" i="1"/>
  <c r="X139" i="1"/>
  <c r="V139" i="1"/>
  <c r="T139" i="1"/>
  <c r="R139" i="1"/>
  <c r="P139" i="1"/>
  <c r="N139" i="1"/>
  <c r="L139" i="1"/>
  <c r="J139" i="1"/>
  <c r="H139" i="1"/>
  <c r="F139" i="1"/>
  <c r="D139" i="1"/>
  <c r="AH137" i="1"/>
  <c r="AF137" i="1"/>
  <c r="AD137" i="1"/>
  <c r="AB137" i="1"/>
  <c r="Y137" i="1"/>
  <c r="Z137" i="1" s="1"/>
  <c r="X137" i="1"/>
  <c r="V137" i="1"/>
  <c r="T137" i="1"/>
  <c r="R137" i="1"/>
  <c r="P137" i="1"/>
  <c r="N137" i="1"/>
  <c r="L137" i="1"/>
  <c r="J137" i="1"/>
  <c r="H137" i="1"/>
  <c r="F137" i="1"/>
  <c r="D137" i="1"/>
  <c r="AH136" i="1"/>
  <c r="AF136" i="1"/>
  <c r="AD136" i="1"/>
  <c r="AB136" i="1"/>
  <c r="Y136" i="1"/>
  <c r="Z136" i="1" s="1"/>
  <c r="X136" i="1"/>
  <c r="V136" i="1"/>
  <c r="T136" i="1"/>
  <c r="R136" i="1"/>
  <c r="P136" i="1"/>
  <c r="N136" i="1"/>
  <c r="L136" i="1"/>
  <c r="J136" i="1"/>
  <c r="H136" i="1"/>
  <c r="F136" i="1"/>
  <c r="D136" i="1"/>
  <c r="AH135" i="1"/>
  <c r="AF135" i="1"/>
  <c r="AD135" i="1"/>
  <c r="AB135" i="1"/>
  <c r="Y135" i="1"/>
  <c r="Z135" i="1" s="1"/>
  <c r="X135" i="1"/>
  <c r="V135" i="1"/>
  <c r="T135" i="1"/>
  <c r="R135" i="1"/>
  <c r="P135" i="1"/>
  <c r="N135" i="1"/>
  <c r="L135" i="1"/>
  <c r="J135" i="1"/>
  <c r="H135" i="1"/>
  <c r="F135" i="1"/>
  <c r="D135" i="1"/>
  <c r="AH134" i="1"/>
  <c r="AF134" i="1"/>
  <c r="AD134" i="1"/>
  <c r="AB134" i="1"/>
  <c r="Y134" i="1"/>
  <c r="Z134" i="1" s="1"/>
  <c r="X134" i="1"/>
  <c r="V134" i="1"/>
  <c r="T134" i="1"/>
  <c r="R134" i="1"/>
  <c r="P134" i="1"/>
  <c r="N134" i="1"/>
  <c r="L134" i="1"/>
  <c r="J134" i="1"/>
  <c r="H134" i="1"/>
  <c r="F134" i="1"/>
  <c r="D134" i="1"/>
  <c r="AH133" i="1"/>
  <c r="AF133" i="1"/>
  <c r="AD133" i="1"/>
  <c r="AB133" i="1"/>
  <c r="Y133" i="1"/>
  <c r="Z133" i="1" s="1"/>
  <c r="X133" i="1"/>
  <c r="V133" i="1"/>
  <c r="T133" i="1"/>
  <c r="R133" i="1"/>
  <c r="P133" i="1"/>
  <c r="N133" i="1"/>
  <c r="L133" i="1"/>
  <c r="J133" i="1"/>
  <c r="H133" i="1"/>
  <c r="F133" i="1"/>
  <c r="D133" i="1"/>
  <c r="AH132" i="1"/>
  <c r="AF132" i="1"/>
  <c r="AD132" i="1"/>
  <c r="AB132" i="1"/>
  <c r="Z132" i="1"/>
  <c r="Y132" i="1"/>
  <c r="X132" i="1"/>
  <c r="V132" i="1"/>
  <c r="T132" i="1"/>
  <c r="R132" i="1"/>
  <c r="P132" i="1"/>
  <c r="N132" i="1"/>
  <c r="L132" i="1"/>
  <c r="J132" i="1"/>
  <c r="H132" i="1"/>
  <c r="F132" i="1"/>
  <c r="D132" i="1"/>
  <c r="AH131" i="1"/>
  <c r="AF131" i="1"/>
  <c r="AD131" i="1"/>
  <c r="AB131" i="1"/>
  <c r="Y131" i="1"/>
  <c r="Z131" i="1" s="1"/>
  <c r="X131" i="1"/>
  <c r="V131" i="1"/>
  <c r="T131" i="1"/>
  <c r="R131" i="1"/>
  <c r="P131" i="1"/>
  <c r="N131" i="1"/>
  <c r="L131" i="1"/>
  <c r="J131" i="1"/>
  <c r="H131" i="1"/>
  <c r="F131" i="1"/>
  <c r="D131" i="1"/>
  <c r="AH130" i="1"/>
  <c r="AF130" i="1"/>
  <c r="AD130" i="1"/>
  <c r="AB130" i="1"/>
  <c r="Z130" i="1"/>
  <c r="Y130" i="1"/>
  <c r="X130" i="1"/>
  <c r="V130" i="1"/>
  <c r="T130" i="1"/>
  <c r="R130" i="1"/>
  <c r="P130" i="1"/>
  <c r="N130" i="1"/>
  <c r="L130" i="1"/>
  <c r="J130" i="1"/>
  <c r="H130" i="1"/>
  <c r="F130" i="1"/>
  <c r="D130" i="1"/>
  <c r="AH129" i="1"/>
  <c r="AF129" i="1"/>
  <c r="AD129" i="1"/>
  <c r="AB129" i="1"/>
  <c r="Y129" i="1"/>
  <c r="Z129" i="1" s="1"/>
  <c r="X129" i="1"/>
  <c r="V129" i="1"/>
  <c r="T129" i="1"/>
  <c r="R129" i="1"/>
  <c r="P129" i="1"/>
  <c r="N129" i="1"/>
  <c r="L129" i="1"/>
  <c r="J129" i="1"/>
  <c r="H129" i="1"/>
  <c r="F129" i="1"/>
  <c r="D129" i="1"/>
  <c r="AH128" i="1"/>
  <c r="AF128" i="1"/>
  <c r="AD128" i="1"/>
  <c r="AB128" i="1"/>
  <c r="Y128" i="1"/>
  <c r="Z128" i="1" s="1"/>
  <c r="X128" i="1"/>
  <c r="V128" i="1"/>
  <c r="T128" i="1"/>
  <c r="R128" i="1"/>
  <c r="P128" i="1"/>
  <c r="N128" i="1"/>
  <c r="L128" i="1"/>
  <c r="J128" i="1"/>
  <c r="H128" i="1"/>
  <c r="F128" i="1"/>
  <c r="D128" i="1"/>
  <c r="AH127" i="1"/>
  <c r="AF127" i="1"/>
  <c r="AD127" i="1"/>
  <c r="AB127" i="1"/>
  <c r="Y127" i="1"/>
  <c r="Z127" i="1" s="1"/>
  <c r="X127" i="1"/>
  <c r="V127" i="1"/>
  <c r="T127" i="1"/>
  <c r="R127" i="1"/>
  <c r="P127" i="1"/>
  <c r="N127" i="1"/>
  <c r="L127" i="1"/>
  <c r="J127" i="1"/>
  <c r="H127" i="1"/>
  <c r="F127" i="1"/>
  <c r="D127" i="1"/>
  <c r="AH126" i="1"/>
  <c r="AF126" i="1"/>
  <c r="AD126" i="1"/>
  <c r="AB126" i="1"/>
  <c r="Z126" i="1"/>
  <c r="Y126" i="1"/>
  <c r="X126" i="1"/>
  <c r="V126" i="1"/>
  <c r="T126" i="1"/>
  <c r="R126" i="1"/>
  <c r="P126" i="1"/>
  <c r="N126" i="1"/>
  <c r="L126" i="1"/>
  <c r="J126" i="1"/>
  <c r="H126" i="1"/>
  <c r="F126" i="1"/>
  <c r="D126" i="1"/>
  <c r="AH124" i="1"/>
  <c r="AF124" i="1"/>
  <c r="AD124" i="1"/>
  <c r="AB124" i="1"/>
  <c r="Y124" i="1"/>
  <c r="Z124" i="1" s="1"/>
  <c r="X124" i="1"/>
  <c r="V124" i="1"/>
  <c r="T124" i="1"/>
  <c r="R124" i="1"/>
  <c r="P124" i="1"/>
  <c r="N124" i="1"/>
  <c r="L124" i="1"/>
  <c r="J124" i="1"/>
  <c r="H124" i="1"/>
  <c r="F124" i="1"/>
  <c r="D124" i="1"/>
  <c r="AH123" i="1"/>
  <c r="AF123" i="1"/>
  <c r="AD123" i="1"/>
  <c r="AB123" i="1"/>
  <c r="Y123" i="1"/>
  <c r="Z123" i="1" s="1"/>
  <c r="X123" i="1"/>
  <c r="V123" i="1"/>
  <c r="T123" i="1"/>
  <c r="R123" i="1"/>
  <c r="P123" i="1"/>
  <c r="N123" i="1"/>
  <c r="L123" i="1"/>
  <c r="J123" i="1"/>
  <c r="H123" i="1"/>
  <c r="F123" i="1"/>
  <c r="D123" i="1"/>
  <c r="AH122" i="1"/>
  <c r="AF122" i="1"/>
  <c r="AD122" i="1"/>
  <c r="AB122" i="1"/>
  <c r="Y122" i="1"/>
  <c r="Z122" i="1" s="1"/>
  <c r="X122" i="1"/>
  <c r="V122" i="1"/>
  <c r="T122" i="1"/>
  <c r="R122" i="1"/>
  <c r="P122" i="1"/>
  <c r="N122" i="1"/>
  <c r="L122" i="1"/>
  <c r="J122" i="1"/>
  <c r="H122" i="1"/>
  <c r="F122" i="1"/>
  <c r="D122" i="1"/>
  <c r="AH121" i="1"/>
  <c r="AF121" i="1"/>
  <c r="AD121" i="1"/>
  <c r="AB121" i="1"/>
  <c r="Y121" i="1"/>
  <c r="Z121" i="1" s="1"/>
  <c r="X121" i="1"/>
  <c r="V121" i="1"/>
  <c r="T121" i="1"/>
  <c r="R121" i="1"/>
  <c r="P121" i="1"/>
  <c r="N121" i="1"/>
  <c r="L121" i="1"/>
  <c r="J121" i="1"/>
  <c r="H121" i="1"/>
  <c r="F121" i="1"/>
  <c r="D121" i="1"/>
  <c r="AH120" i="1"/>
  <c r="AF120" i="1"/>
  <c r="AD120" i="1"/>
  <c r="AB120" i="1"/>
  <c r="Y120" i="1"/>
  <c r="Z120" i="1" s="1"/>
  <c r="X120" i="1"/>
  <c r="V120" i="1"/>
  <c r="T120" i="1"/>
  <c r="R120" i="1"/>
  <c r="P120" i="1"/>
  <c r="N120" i="1"/>
  <c r="L120" i="1"/>
  <c r="J120" i="1"/>
  <c r="H120" i="1"/>
  <c r="F120" i="1"/>
  <c r="D120" i="1"/>
  <c r="AH119" i="1"/>
  <c r="AF119" i="1"/>
  <c r="AD119" i="1"/>
  <c r="AB119" i="1"/>
  <c r="Z119" i="1"/>
  <c r="Y119" i="1"/>
  <c r="X119" i="1"/>
  <c r="V119" i="1"/>
  <c r="T119" i="1"/>
  <c r="R119" i="1"/>
  <c r="P119" i="1"/>
  <c r="N119" i="1"/>
  <c r="L119" i="1"/>
  <c r="J119" i="1"/>
  <c r="H119" i="1"/>
  <c r="F119" i="1"/>
  <c r="D119" i="1"/>
  <c r="AH118" i="1"/>
  <c r="AF118" i="1"/>
  <c r="AD118" i="1"/>
  <c r="AB118" i="1"/>
  <c r="Y118" i="1"/>
  <c r="Z118" i="1" s="1"/>
  <c r="X118" i="1"/>
  <c r="V118" i="1"/>
  <c r="T118" i="1"/>
  <c r="R118" i="1"/>
  <c r="P118" i="1"/>
  <c r="N118" i="1"/>
  <c r="L118" i="1"/>
  <c r="J118" i="1"/>
  <c r="H118" i="1"/>
  <c r="F118" i="1"/>
  <c r="D118" i="1"/>
  <c r="AH117" i="1"/>
  <c r="AF117" i="1"/>
  <c r="AD117" i="1"/>
  <c r="AB117" i="1"/>
  <c r="Z117" i="1"/>
  <c r="Y117" i="1"/>
  <c r="X117" i="1"/>
  <c r="V117" i="1"/>
  <c r="T117" i="1"/>
  <c r="R117" i="1"/>
  <c r="P117" i="1"/>
  <c r="N117" i="1"/>
  <c r="L117" i="1"/>
  <c r="J117" i="1"/>
  <c r="H117" i="1"/>
  <c r="F117" i="1"/>
  <c r="D117" i="1"/>
  <c r="AH116" i="1"/>
  <c r="AF116" i="1"/>
  <c r="AD116" i="1"/>
  <c r="AB116" i="1"/>
  <c r="Y116" i="1"/>
  <c r="Z116" i="1" s="1"/>
  <c r="X116" i="1"/>
  <c r="V116" i="1"/>
  <c r="T116" i="1"/>
  <c r="R116" i="1"/>
  <c r="P116" i="1"/>
  <c r="N116" i="1"/>
  <c r="L116" i="1"/>
  <c r="J116" i="1"/>
  <c r="H116" i="1"/>
  <c r="F116" i="1"/>
  <c r="D116" i="1"/>
  <c r="AH115" i="1"/>
  <c r="AF115" i="1"/>
  <c r="AD115" i="1"/>
  <c r="AB115" i="1"/>
  <c r="Y115" i="1"/>
  <c r="Z115" i="1" s="1"/>
  <c r="X115" i="1"/>
  <c r="V115" i="1"/>
  <c r="T115" i="1"/>
  <c r="R115" i="1"/>
  <c r="P115" i="1"/>
  <c r="N115" i="1"/>
  <c r="L115" i="1"/>
  <c r="J115" i="1"/>
  <c r="H115" i="1"/>
  <c r="F115" i="1"/>
  <c r="D115" i="1"/>
  <c r="AH114" i="1"/>
  <c r="AF114" i="1"/>
  <c r="AD114" i="1"/>
  <c r="AB114" i="1"/>
  <c r="Y114" i="1"/>
  <c r="Z114" i="1" s="1"/>
  <c r="X114" i="1"/>
  <c r="V114" i="1"/>
  <c r="T114" i="1"/>
  <c r="R114" i="1"/>
  <c r="P114" i="1"/>
  <c r="N114" i="1"/>
  <c r="L114" i="1"/>
  <c r="J114" i="1"/>
  <c r="H114" i="1"/>
  <c r="F114" i="1"/>
  <c r="D114" i="1"/>
  <c r="AH113" i="1"/>
  <c r="AF113" i="1"/>
  <c r="AD113" i="1"/>
  <c r="AB113" i="1"/>
  <c r="Z113" i="1"/>
  <c r="Y113" i="1"/>
  <c r="X113" i="1"/>
  <c r="V113" i="1"/>
  <c r="T113" i="1"/>
  <c r="R113" i="1"/>
  <c r="P113" i="1"/>
  <c r="N113" i="1"/>
  <c r="L113" i="1"/>
  <c r="J113" i="1"/>
  <c r="H113" i="1"/>
  <c r="F113" i="1"/>
  <c r="D113" i="1"/>
  <c r="Y112" i="1"/>
  <c r="AH111" i="1"/>
  <c r="AF111" i="1"/>
  <c r="AD111" i="1"/>
  <c r="AB111" i="1"/>
  <c r="Z111" i="1"/>
  <c r="Y111" i="1"/>
  <c r="X111" i="1"/>
  <c r="V111" i="1"/>
  <c r="T111" i="1"/>
  <c r="R111" i="1"/>
  <c r="P111" i="1"/>
  <c r="N111" i="1"/>
  <c r="L111" i="1"/>
  <c r="J111" i="1"/>
  <c r="H111" i="1"/>
  <c r="F111" i="1"/>
  <c r="D111" i="1"/>
  <c r="AH110" i="1"/>
  <c r="AF110" i="1"/>
  <c r="AD110" i="1"/>
  <c r="AB110" i="1"/>
  <c r="Y110" i="1"/>
  <c r="Z110" i="1" s="1"/>
  <c r="X110" i="1"/>
  <c r="V110" i="1"/>
  <c r="T110" i="1"/>
  <c r="R110" i="1"/>
  <c r="P110" i="1"/>
  <c r="N110" i="1"/>
  <c r="L110" i="1"/>
  <c r="J110" i="1"/>
  <c r="H110" i="1"/>
  <c r="F110" i="1"/>
  <c r="D110" i="1"/>
  <c r="AH109" i="1"/>
  <c r="AF109" i="1"/>
  <c r="AD109" i="1"/>
  <c r="AB109" i="1"/>
  <c r="Z109" i="1"/>
  <c r="Y109" i="1"/>
  <c r="X109" i="1"/>
  <c r="V109" i="1"/>
  <c r="T109" i="1"/>
  <c r="R109" i="1"/>
  <c r="P109" i="1"/>
  <c r="N109" i="1"/>
  <c r="L109" i="1"/>
  <c r="J109" i="1"/>
  <c r="H109" i="1"/>
  <c r="F109" i="1"/>
  <c r="D109" i="1"/>
  <c r="AH108" i="1"/>
  <c r="AF108" i="1"/>
  <c r="AD108" i="1"/>
  <c r="AB108" i="1"/>
  <c r="Y108" i="1"/>
  <c r="Z108" i="1" s="1"/>
  <c r="X108" i="1"/>
  <c r="V108" i="1"/>
  <c r="T108" i="1"/>
  <c r="R108" i="1"/>
  <c r="P108" i="1"/>
  <c r="N108" i="1"/>
  <c r="L108" i="1"/>
  <c r="J108" i="1"/>
  <c r="H108" i="1"/>
  <c r="F108" i="1"/>
  <c r="D108" i="1"/>
  <c r="AH107" i="1"/>
  <c r="AF107" i="1"/>
  <c r="AD107" i="1"/>
  <c r="AB107" i="1"/>
  <c r="Y107" i="1"/>
  <c r="Z107" i="1" s="1"/>
  <c r="X107" i="1"/>
  <c r="V107" i="1"/>
  <c r="T107" i="1"/>
  <c r="R107" i="1"/>
  <c r="P107" i="1"/>
  <c r="N107" i="1"/>
  <c r="L107" i="1"/>
  <c r="J107" i="1"/>
  <c r="H107" i="1"/>
  <c r="F107" i="1"/>
  <c r="D107" i="1"/>
  <c r="AH106" i="1"/>
  <c r="AF106" i="1"/>
  <c r="AD106" i="1"/>
  <c r="AB106" i="1"/>
  <c r="Y106" i="1"/>
  <c r="Z106" i="1" s="1"/>
  <c r="X106" i="1"/>
  <c r="V106" i="1"/>
  <c r="T106" i="1"/>
  <c r="R106" i="1"/>
  <c r="P106" i="1"/>
  <c r="N106" i="1"/>
  <c r="L106" i="1"/>
  <c r="J106" i="1"/>
  <c r="H106" i="1"/>
  <c r="F106" i="1"/>
  <c r="D106" i="1"/>
  <c r="AH105" i="1"/>
  <c r="AF105" i="1"/>
  <c r="AD105" i="1"/>
  <c r="AB105" i="1"/>
  <c r="Z105" i="1"/>
  <c r="Y105" i="1"/>
  <c r="X105" i="1"/>
  <c r="V105" i="1"/>
  <c r="T105" i="1"/>
  <c r="R105" i="1"/>
  <c r="P105" i="1"/>
  <c r="N105" i="1"/>
  <c r="L105" i="1"/>
  <c r="J105" i="1"/>
  <c r="H105" i="1"/>
  <c r="F105" i="1"/>
  <c r="D105" i="1"/>
  <c r="AH104" i="1"/>
  <c r="AF104" i="1"/>
  <c r="AD104" i="1"/>
  <c r="AB104" i="1"/>
  <c r="Y104" i="1"/>
  <c r="Z104" i="1" s="1"/>
  <c r="X104" i="1"/>
  <c r="V104" i="1"/>
  <c r="T104" i="1"/>
  <c r="R104" i="1"/>
  <c r="P104" i="1"/>
  <c r="N104" i="1"/>
  <c r="L104" i="1"/>
  <c r="J104" i="1"/>
  <c r="H104" i="1"/>
  <c r="F104" i="1"/>
  <c r="D104" i="1"/>
  <c r="AH103" i="1"/>
  <c r="AF103" i="1"/>
  <c r="AD103" i="1"/>
  <c r="AB103" i="1"/>
  <c r="Y103" i="1"/>
  <c r="Z103" i="1" s="1"/>
  <c r="X103" i="1"/>
  <c r="V103" i="1"/>
  <c r="T103" i="1"/>
  <c r="R103" i="1"/>
  <c r="P103" i="1"/>
  <c r="N103" i="1"/>
  <c r="L103" i="1"/>
  <c r="J103" i="1"/>
  <c r="H103" i="1"/>
  <c r="F103" i="1"/>
  <c r="D103" i="1"/>
  <c r="AH102" i="1"/>
  <c r="AF102" i="1"/>
  <c r="AD102" i="1"/>
  <c r="AB102" i="1"/>
  <c r="Y102" i="1"/>
  <c r="Z102" i="1" s="1"/>
  <c r="X102" i="1"/>
  <c r="V102" i="1"/>
  <c r="T102" i="1"/>
  <c r="R102" i="1"/>
  <c r="P102" i="1"/>
  <c r="N102" i="1"/>
  <c r="L102" i="1"/>
  <c r="J102" i="1"/>
  <c r="H102" i="1"/>
  <c r="F102" i="1"/>
  <c r="D102" i="1"/>
  <c r="AH101" i="1"/>
  <c r="AF101" i="1"/>
  <c r="AD101" i="1"/>
  <c r="AB101" i="1"/>
  <c r="Y101" i="1"/>
  <c r="Z101" i="1" s="1"/>
  <c r="X101" i="1"/>
  <c r="V101" i="1"/>
  <c r="T101" i="1"/>
  <c r="R101" i="1"/>
  <c r="P101" i="1"/>
  <c r="N101" i="1"/>
  <c r="L101" i="1"/>
  <c r="J101" i="1"/>
  <c r="H101" i="1"/>
  <c r="F101" i="1"/>
  <c r="D101" i="1"/>
  <c r="AH100" i="1"/>
  <c r="AF100" i="1"/>
  <c r="AD100" i="1"/>
  <c r="AB100" i="1"/>
  <c r="Y100" i="1"/>
  <c r="Z100" i="1" s="1"/>
  <c r="X100" i="1"/>
  <c r="V100" i="1"/>
  <c r="T100" i="1"/>
  <c r="R100" i="1"/>
  <c r="P100" i="1"/>
  <c r="N100" i="1"/>
  <c r="L100" i="1"/>
  <c r="J100" i="1"/>
  <c r="H100" i="1"/>
  <c r="F100" i="1"/>
  <c r="D100" i="1"/>
  <c r="Y99" i="1"/>
  <c r="AH98" i="1"/>
  <c r="AF98" i="1"/>
  <c r="AD98" i="1"/>
  <c r="AB98" i="1"/>
  <c r="Y98" i="1"/>
  <c r="Z98" i="1" s="1"/>
  <c r="X98" i="1"/>
  <c r="V98" i="1"/>
  <c r="T98" i="1"/>
  <c r="R98" i="1"/>
  <c r="P98" i="1"/>
  <c r="N98" i="1"/>
  <c r="L98" i="1"/>
  <c r="J98" i="1"/>
  <c r="H98" i="1"/>
  <c r="F98" i="1"/>
  <c r="D98" i="1"/>
  <c r="AH97" i="1"/>
  <c r="AF97" i="1"/>
  <c r="AD97" i="1"/>
  <c r="AB97" i="1"/>
  <c r="Z97" i="1"/>
  <c r="Y97" i="1"/>
  <c r="X97" i="1"/>
  <c r="V97" i="1"/>
  <c r="T97" i="1"/>
  <c r="R97" i="1"/>
  <c r="P97" i="1"/>
  <c r="N97" i="1"/>
  <c r="L97" i="1"/>
  <c r="J97" i="1"/>
  <c r="H97" i="1"/>
  <c r="F97" i="1"/>
  <c r="D97" i="1"/>
  <c r="AH96" i="1"/>
  <c r="AF96" i="1"/>
  <c r="AD96" i="1"/>
  <c r="AB96" i="1"/>
  <c r="Y96" i="1"/>
  <c r="Z96" i="1" s="1"/>
  <c r="X96" i="1"/>
  <c r="V96" i="1"/>
  <c r="T96" i="1"/>
  <c r="R96" i="1"/>
  <c r="P96" i="1"/>
  <c r="N96" i="1"/>
  <c r="L96" i="1"/>
  <c r="J96" i="1"/>
  <c r="H96" i="1"/>
  <c r="F96" i="1"/>
  <c r="D96" i="1"/>
  <c r="AH95" i="1"/>
  <c r="AF95" i="1"/>
  <c r="AD95" i="1"/>
  <c r="AB95" i="1"/>
  <c r="Y95" i="1"/>
  <c r="Z95" i="1" s="1"/>
  <c r="X95" i="1"/>
  <c r="V95" i="1"/>
  <c r="T95" i="1"/>
  <c r="R95" i="1"/>
  <c r="P95" i="1"/>
  <c r="N95" i="1"/>
  <c r="L95" i="1"/>
  <c r="J95" i="1"/>
  <c r="H95" i="1"/>
  <c r="F95" i="1"/>
  <c r="D95" i="1"/>
  <c r="AH94" i="1"/>
  <c r="AF94" i="1"/>
  <c r="AD94" i="1"/>
  <c r="AB94" i="1"/>
  <c r="Y94" i="1"/>
  <c r="Z94" i="1" s="1"/>
  <c r="X94" i="1"/>
  <c r="V94" i="1"/>
  <c r="T94" i="1"/>
  <c r="R94" i="1"/>
  <c r="P94" i="1"/>
  <c r="N94" i="1"/>
  <c r="L94" i="1"/>
  <c r="J94" i="1"/>
  <c r="H94" i="1"/>
  <c r="F94" i="1"/>
  <c r="D94" i="1"/>
  <c r="AH93" i="1"/>
  <c r="AF93" i="1"/>
  <c r="AD93" i="1"/>
  <c r="AB93" i="1"/>
  <c r="Y93" i="1"/>
  <c r="Z93" i="1" s="1"/>
  <c r="X93" i="1"/>
  <c r="V93" i="1"/>
  <c r="T93" i="1"/>
  <c r="R93" i="1"/>
  <c r="P93" i="1"/>
  <c r="N93" i="1"/>
  <c r="L93" i="1"/>
  <c r="J93" i="1"/>
  <c r="H93" i="1"/>
  <c r="F93" i="1"/>
  <c r="D93" i="1"/>
  <c r="AH92" i="1"/>
  <c r="AF92" i="1"/>
  <c r="AD92" i="1"/>
  <c r="AB92" i="1"/>
  <c r="Y92" i="1"/>
  <c r="Z92" i="1" s="1"/>
  <c r="X92" i="1"/>
  <c r="V92" i="1"/>
  <c r="T92" i="1"/>
  <c r="R92" i="1"/>
  <c r="P92" i="1"/>
  <c r="N92" i="1"/>
  <c r="L92" i="1"/>
  <c r="J92" i="1"/>
  <c r="H92" i="1"/>
  <c r="F92" i="1"/>
  <c r="D92" i="1"/>
  <c r="AH91" i="1"/>
  <c r="AF91" i="1"/>
  <c r="AD91" i="1"/>
  <c r="AB91" i="1"/>
  <c r="Z91" i="1"/>
  <c r="Y91" i="1"/>
  <c r="X91" i="1"/>
  <c r="V91" i="1"/>
  <c r="T91" i="1"/>
  <c r="R91" i="1"/>
  <c r="P91" i="1"/>
  <c r="N91" i="1"/>
  <c r="L91" i="1"/>
  <c r="J91" i="1"/>
  <c r="H91" i="1"/>
  <c r="F91" i="1"/>
  <c r="D91" i="1"/>
  <c r="AH90" i="1"/>
  <c r="AF90" i="1"/>
  <c r="AD90" i="1"/>
  <c r="AB90" i="1"/>
  <c r="Y90" i="1"/>
  <c r="Z90" i="1" s="1"/>
  <c r="X90" i="1"/>
  <c r="V90" i="1"/>
  <c r="T90" i="1"/>
  <c r="R90" i="1"/>
  <c r="P90" i="1"/>
  <c r="N90" i="1"/>
  <c r="L90" i="1"/>
  <c r="J90" i="1"/>
  <c r="H90" i="1"/>
  <c r="F90" i="1"/>
  <c r="D90" i="1"/>
  <c r="AH89" i="1"/>
  <c r="AF89" i="1"/>
  <c r="AD89" i="1"/>
  <c r="AB89" i="1"/>
  <c r="Z89" i="1"/>
  <c r="Y89" i="1"/>
  <c r="X89" i="1"/>
  <c r="V89" i="1"/>
  <c r="T89" i="1"/>
  <c r="R89" i="1"/>
  <c r="P89" i="1"/>
  <c r="N89" i="1"/>
  <c r="L89" i="1"/>
  <c r="J89" i="1"/>
  <c r="H89" i="1"/>
  <c r="F89" i="1"/>
  <c r="D89" i="1"/>
  <c r="AH88" i="1"/>
  <c r="AF88" i="1"/>
  <c r="AD88" i="1"/>
  <c r="AB88" i="1"/>
  <c r="Y88" i="1"/>
  <c r="Z88" i="1" s="1"/>
  <c r="X88" i="1"/>
  <c r="V88" i="1"/>
  <c r="T88" i="1"/>
  <c r="R88" i="1"/>
  <c r="P88" i="1"/>
  <c r="N88" i="1"/>
  <c r="L88" i="1"/>
  <c r="J88" i="1"/>
  <c r="H88" i="1"/>
  <c r="F88" i="1"/>
  <c r="D88" i="1"/>
  <c r="AH87" i="1"/>
  <c r="AF87" i="1"/>
  <c r="AD87" i="1"/>
  <c r="AB87" i="1"/>
  <c r="Y87" i="1"/>
  <c r="Z87" i="1" s="1"/>
  <c r="X87" i="1"/>
  <c r="V87" i="1"/>
  <c r="T87" i="1"/>
  <c r="R87" i="1"/>
  <c r="P87" i="1"/>
  <c r="N87" i="1"/>
  <c r="L87" i="1"/>
  <c r="J87" i="1"/>
  <c r="H87" i="1"/>
  <c r="F87" i="1"/>
  <c r="D87" i="1"/>
  <c r="Y86" i="1"/>
  <c r="AH85" i="1"/>
  <c r="AF85" i="1"/>
  <c r="AD85" i="1"/>
  <c r="AD73" i="1" s="1"/>
  <c r="AB85" i="1"/>
  <c r="Y85" i="1"/>
  <c r="Z85" i="1" s="1"/>
  <c r="Z73" i="1" s="1"/>
  <c r="X85" i="1"/>
  <c r="X73" i="1" s="1"/>
  <c r="V85" i="1"/>
  <c r="T85" i="1"/>
  <c r="T73" i="1" s="1"/>
  <c r="R85" i="1"/>
  <c r="R73" i="1" s="1"/>
  <c r="P85" i="1"/>
  <c r="N85" i="1"/>
  <c r="N73" i="1" s="1"/>
  <c r="L85" i="1"/>
  <c r="L73" i="1" s="1"/>
  <c r="J85" i="1"/>
  <c r="H85" i="1"/>
  <c r="F85" i="1"/>
  <c r="D85" i="1"/>
  <c r="AH84" i="1"/>
  <c r="AF84" i="1"/>
  <c r="AD84" i="1"/>
  <c r="AB84" i="1"/>
  <c r="Y84" i="1"/>
  <c r="Z84" i="1" s="1"/>
  <c r="X84" i="1"/>
  <c r="V84" i="1"/>
  <c r="T84" i="1"/>
  <c r="R84" i="1"/>
  <c r="P84" i="1"/>
  <c r="N84" i="1"/>
  <c r="L84" i="1"/>
  <c r="J84" i="1"/>
  <c r="H84" i="1"/>
  <c r="F84" i="1"/>
  <c r="D84" i="1"/>
  <c r="AH83" i="1"/>
  <c r="AF83" i="1"/>
  <c r="AD83" i="1"/>
  <c r="AB83" i="1"/>
  <c r="Z83" i="1"/>
  <c r="Y83" i="1"/>
  <c r="X83" i="1"/>
  <c r="V83" i="1"/>
  <c r="T83" i="1"/>
  <c r="R83" i="1"/>
  <c r="P83" i="1"/>
  <c r="N83" i="1"/>
  <c r="L83" i="1"/>
  <c r="J83" i="1"/>
  <c r="H83" i="1"/>
  <c r="F83" i="1"/>
  <c r="D83" i="1"/>
  <c r="AH82" i="1"/>
  <c r="AF82" i="1"/>
  <c r="AD82" i="1"/>
  <c r="AB82" i="1"/>
  <c r="Y82" i="1"/>
  <c r="Z82" i="1" s="1"/>
  <c r="X82" i="1"/>
  <c r="V82" i="1"/>
  <c r="T82" i="1"/>
  <c r="R82" i="1"/>
  <c r="P82" i="1"/>
  <c r="N82" i="1"/>
  <c r="L82" i="1"/>
  <c r="J82" i="1"/>
  <c r="H82" i="1"/>
  <c r="F82" i="1"/>
  <c r="D82" i="1"/>
  <c r="AH81" i="1"/>
  <c r="AF81" i="1"/>
  <c r="AD81" i="1"/>
  <c r="AB81" i="1"/>
  <c r="Z81" i="1"/>
  <c r="Y81" i="1"/>
  <c r="X81" i="1"/>
  <c r="V81" i="1"/>
  <c r="T81" i="1"/>
  <c r="R81" i="1"/>
  <c r="P81" i="1"/>
  <c r="N81" i="1"/>
  <c r="L81" i="1"/>
  <c r="J81" i="1"/>
  <c r="H81" i="1"/>
  <c r="F81" i="1"/>
  <c r="D81" i="1"/>
  <c r="AH80" i="1"/>
  <c r="AF80" i="1"/>
  <c r="AD80" i="1"/>
  <c r="AB80" i="1"/>
  <c r="Y80" i="1"/>
  <c r="Z80" i="1" s="1"/>
  <c r="X80" i="1"/>
  <c r="V80" i="1"/>
  <c r="T80" i="1"/>
  <c r="R80" i="1"/>
  <c r="P80" i="1"/>
  <c r="N80" i="1"/>
  <c r="L80" i="1"/>
  <c r="J80" i="1"/>
  <c r="H80" i="1"/>
  <c r="F80" i="1"/>
  <c r="D80" i="1"/>
  <c r="AH79" i="1"/>
  <c r="AF79" i="1"/>
  <c r="AD79" i="1"/>
  <c r="AB79" i="1"/>
  <c r="Y79" i="1"/>
  <c r="Z79" i="1" s="1"/>
  <c r="X79" i="1"/>
  <c r="T79" i="1"/>
  <c r="R79" i="1"/>
  <c r="P79" i="1"/>
  <c r="N79" i="1"/>
  <c r="L79" i="1"/>
  <c r="J79" i="1"/>
  <c r="H79" i="1"/>
  <c r="F79" i="1"/>
  <c r="D79" i="1"/>
  <c r="AH78" i="1"/>
  <c r="AF78" i="1"/>
  <c r="AD78" i="1"/>
  <c r="AB78" i="1"/>
  <c r="Z78" i="1"/>
  <c r="Y78" i="1"/>
  <c r="X78" i="1"/>
  <c r="V78" i="1"/>
  <c r="T78" i="1"/>
  <c r="R78" i="1"/>
  <c r="P78" i="1"/>
  <c r="N78" i="1"/>
  <c r="L78" i="1"/>
  <c r="J78" i="1"/>
  <c r="H78" i="1"/>
  <c r="F78" i="1"/>
  <c r="D78" i="1"/>
  <c r="AH77" i="1"/>
  <c r="AF77" i="1"/>
  <c r="AD77" i="1"/>
  <c r="AB77" i="1"/>
  <c r="Y77" i="1"/>
  <c r="Z77" i="1" s="1"/>
  <c r="X77" i="1"/>
  <c r="V77" i="1"/>
  <c r="T77" i="1"/>
  <c r="R77" i="1"/>
  <c r="P77" i="1"/>
  <c r="N77" i="1"/>
  <c r="L77" i="1"/>
  <c r="J77" i="1"/>
  <c r="H77" i="1"/>
  <c r="F77" i="1"/>
  <c r="D77" i="1"/>
  <c r="AH76" i="1"/>
  <c r="AF76" i="1"/>
  <c r="AD76" i="1"/>
  <c r="AB76" i="1"/>
  <c r="Z76" i="1"/>
  <c r="Y76" i="1"/>
  <c r="X76" i="1"/>
  <c r="V76" i="1"/>
  <c r="T76" i="1"/>
  <c r="R76" i="1"/>
  <c r="P76" i="1"/>
  <c r="N76" i="1"/>
  <c r="L76" i="1"/>
  <c r="J76" i="1"/>
  <c r="H76" i="1"/>
  <c r="F76" i="1"/>
  <c r="D76" i="1"/>
  <c r="AH75" i="1"/>
  <c r="AF75" i="1"/>
  <c r="AD75" i="1"/>
  <c r="AB75" i="1"/>
  <c r="Y75" i="1"/>
  <c r="Z75" i="1" s="1"/>
  <c r="X75" i="1"/>
  <c r="V75" i="1"/>
  <c r="T75" i="1"/>
  <c r="R75" i="1"/>
  <c r="P75" i="1"/>
  <c r="N75" i="1"/>
  <c r="L75" i="1"/>
  <c r="J75" i="1"/>
  <c r="H75" i="1"/>
  <c r="F75" i="1"/>
  <c r="D75" i="1"/>
  <c r="AH74" i="1"/>
  <c r="AF74" i="1"/>
  <c r="AD74" i="1"/>
  <c r="AB74" i="1"/>
  <c r="Y74" i="1"/>
  <c r="Z74" i="1" s="1"/>
  <c r="X74" i="1"/>
  <c r="V74" i="1"/>
  <c r="T74" i="1"/>
  <c r="R74" i="1"/>
  <c r="P74" i="1"/>
  <c r="N74" i="1"/>
  <c r="L74" i="1"/>
  <c r="J74" i="1"/>
  <c r="H74" i="1"/>
  <c r="F74" i="1"/>
  <c r="D74" i="1"/>
  <c r="AI73" i="1"/>
  <c r="AH73" i="1"/>
  <c r="AG73" i="1"/>
  <c r="AF73" i="1"/>
  <c r="AE73" i="1"/>
  <c r="AC73" i="1"/>
  <c r="AB73" i="1"/>
  <c r="AA73" i="1"/>
  <c r="W73" i="1"/>
  <c r="V73" i="1"/>
  <c r="U73" i="1"/>
  <c r="S73" i="1"/>
  <c r="Q73" i="1"/>
  <c r="P73" i="1"/>
  <c r="O73" i="1"/>
  <c r="M73" i="1"/>
  <c r="K73" i="1"/>
  <c r="J73" i="1"/>
  <c r="I73" i="1"/>
  <c r="H73" i="1"/>
  <c r="G73" i="1"/>
  <c r="F73" i="1"/>
  <c r="E73" i="1"/>
  <c r="D73" i="1"/>
  <c r="C73" i="1"/>
  <c r="B73" i="1"/>
  <c r="Y73" i="1" s="1"/>
  <c r="AH72" i="1"/>
  <c r="AF72" i="1"/>
  <c r="AF60" i="1" s="1"/>
  <c r="AD72" i="1"/>
  <c r="AD60" i="1" s="1"/>
  <c r="AB72" i="1"/>
  <c r="AB60" i="1" s="1"/>
  <c r="Y72" i="1"/>
  <c r="Z72" i="1" s="1"/>
  <c r="Z60" i="1" s="1"/>
  <c r="X72" i="1"/>
  <c r="V72" i="1"/>
  <c r="T72" i="1"/>
  <c r="T60" i="1" s="1"/>
  <c r="R72" i="1"/>
  <c r="R60" i="1" s="1"/>
  <c r="P72" i="1"/>
  <c r="P60" i="1" s="1"/>
  <c r="N72" i="1"/>
  <c r="L72" i="1"/>
  <c r="J72" i="1"/>
  <c r="H72" i="1"/>
  <c r="H60" i="1" s="1"/>
  <c r="F72" i="1"/>
  <c r="F60" i="1" s="1"/>
  <c r="D72" i="1"/>
  <c r="AH71" i="1"/>
  <c r="AF71" i="1"/>
  <c r="AD71" i="1"/>
  <c r="AB71" i="1"/>
  <c r="Y71" i="1"/>
  <c r="Z71" i="1" s="1"/>
  <c r="X71" i="1"/>
  <c r="V71" i="1"/>
  <c r="T71" i="1"/>
  <c r="R71" i="1"/>
  <c r="P71" i="1"/>
  <c r="N71" i="1"/>
  <c r="L71" i="1"/>
  <c r="J71" i="1"/>
  <c r="H71" i="1"/>
  <c r="F71" i="1"/>
  <c r="D71" i="1"/>
  <c r="AH70" i="1"/>
  <c r="AF70" i="1"/>
  <c r="AD70" i="1"/>
  <c r="AB70" i="1"/>
  <c r="Y70" i="1"/>
  <c r="Z70" i="1" s="1"/>
  <c r="X70" i="1"/>
  <c r="V70" i="1"/>
  <c r="T70" i="1"/>
  <c r="R70" i="1"/>
  <c r="P70" i="1"/>
  <c r="N70" i="1"/>
  <c r="L70" i="1"/>
  <c r="J70" i="1"/>
  <c r="H70" i="1"/>
  <c r="F70" i="1"/>
  <c r="D70" i="1"/>
  <c r="AH69" i="1"/>
  <c r="AF69" i="1"/>
  <c r="AD69" i="1"/>
  <c r="AB69" i="1"/>
  <c r="Y69" i="1"/>
  <c r="Z69" i="1" s="1"/>
  <c r="X69" i="1"/>
  <c r="V69" i="1"/>
  <c r="T69" i="1"/>
  <c r="R69" i="1"/>
  <c r="P69" i="1"/>
  <c r="N69" i="1"/>
  <c r="L69" i="1"/>
  <c r="J69" i="1"/>
  <c r="H69" i="1"/>
  <c r="F69" i="1"/>
  <c r="D69" i="1"/>
  <c r="AH68" i="1"/>
  <c r="AF68" i="1"/>
  <c r="AD68" i="1"/>
  <c r="AB68" i="1"/>
  <c r="Y68" i="1"/>
  <c r="Z68" i="1" s="1"/>
  <c r="X68" i="1"/>
  <c r="V68" i="1"/>
  <c r="T68" i="1"/>
  <c r="R68" i="1"/>
  <c r="P68" i="1"/>
  <c r="N68" i="1"/>
  <c r="L68" i="1"/>
  <c r="J68" i="1"/>
  <c r="H68" i="1"/>
  <c r="F68" i="1"/>
  <c r="D68" i="1"/>
  <c r="AH67" i="1"/>
  <c r="AF67" i="1"/>
  <c r="AD67" i="1"/>
  <c r="AB67" i="1"/>
  <c r="Z67" i="1"/>
  <c r="Y67" i="1"/>
  <c r="X67" i="1"/>
  <c r="V67" i="1"/>
  <c r="T67" i="1"/>
  <c r="R67" i="1"/>
  <c r="P67" i="1"/>
  <c r="N67" i="1"/>
  <c r="L67" i="1"/>
  <c r="J67" i="1"/>
  <c r="H67" i="1"/>
  <c r="F67" i="1"/>
  <c r="D67" i="1"/>
  <c r="AH66" i="1"/>
  <c r="AF66" i="1"/>
  <c r="AD66" i="1"/>
  <c r="AB66" i="1"/>
  <c r="Y66" i="1"/>
  <c r="Z66" i="1" s="1"/>
  <c r="X66" i="1"/>
  <c r="V66" i="1"/>
  <c r="T66" i="1"/>
  <c r="R66" i="1"/>
  <c r="P66" i="1"/>
  <c r="N66" i="1"/>
  <c r="L66" i="1"/>
  <c r="J66" i="1"/>
  <c r="H66" i="1"/>
  <c r="F66" i="1"/>
  <c r="D66" i="1"/>
  <c r="AH65" i="1"/>
  <c r="AF65" i="1"/>
  <c r="AD65" i="1"/>
  <c r="AB65" i="1"/>
  <c r="Z65" i="1"/>
  <c r="Y65" i="1"/>
  <c r="X65" i="1"/>
  <c r="V65" i="1"/>
  <c r="T65" i="1"/>
  <c r="R65" i="1"/>
  <c r="P65" i="1"/>
  <c r="N65" i="1"/>
  <c r="L65" i="1"/>
  <c r="J65" i="1"/>
  <c r="H65" i="1"/>
  <c r="F65" i="1"/>
  <c r="D65" i="1"/>
  <c r="AH64" i="1"/>
  <c r="AF64" i="1"/>
  <c r="AD64" i="1"/>
  <c r="AB64" i="1"/>
  <c r="Y64" i="1"/>
  <c r="Z64" i="1" s="1"/>
  <c r="X64" i="1"/>
  <c r="V64" i="1"/>
  <c r="T64" i="1"/>
  <c r="R64" i="1"/>
  <c r="P64" i="1"/>
  <c r="N64" i="1"/>
  <c r="L64" i="1"/>
  <c r="J64" i="1"/>
  <c r="H64" i="1"/>
  <c r="F64" i="1"/>
  <c r="D64" i="1"/>
  <c r="AH63" i="1"/>
  <c r="AF63" i="1"/>
  <c r="AD63" i="1"/>
  <c r="AB63" i="1"/>
  <c r="Y63" i="1"/>
  <c r="Z63" i="1" s="1"/>
  <c r="X63" i="1"/>
  <c r="V63" i="1"/>
  <c r="T63" i="1"/>
  <c r="R63" i="1"/>
  <c r="P63" i="1"/>
  <c r="N63" i="1"/>
  <c r="L63" i="1"/>
  <c r="J63" i="1"/>
  <c r="H63" i="1"/>
  <c r="F63" i="1"/>
  <c r="D63" i="1"/>
  <c r="AH62" i="1"/>
  <c r="AF62" i="1"/>
  <c r="AD62" i="1"/>
  <c r="AB62" i="1"/>
  <c r="Y62" i="1"/>
  <c r="Z62" i="1" s="1"/>
  <c r="X62" i="1"/>
  <c r="V62" i="1"/>
  <c r="T62" i="1"/>
  <c r="R62" i="1"/>
  <c r="P62" i="1"/>
  <c r="N62" i="1"/>
  <c r="L62" i="1"/>
  <c r="J62" i="1"/>
  <c r="H62" i="1"/>
  <c r="F62" i="1"/>
  <c r="D62" i="1"/>
  <c r="CC61" i="1"/>
  <c r="CD61" i="1" s="1"/>
  <c r="AH61" i="1"/>
  <c r="AF61" i="1"/>
  <c r="AD61" i="1"/>
  <c r="AB61" i="1"/>
  <c r="Y61" i="1"/>
  <c r="Z61" i="1" s="1"/>
  <c r="X61" i="1"/>
  <c r="V61" i="1"/>
  <c r="T61" i="1"/>
  <c r="R61" i="1"/>
  <c r="P61" i="1"/>
  <c r="N61" i="1"/>
  <c r="L61" i="1"/>
  <c r="J61" i="1"/>
  <c r="H61" i="1"/>
  <c r="F61" i="1"/>
  <c r="D61" i="1"/>
  <c r="AI60" i="1"/>
  <c r="AH60" i="1"/>
  <c r="AG60" i="1"/>
  <c r="AE60" i="1"/>
  <c r="AC60" i="1"/>
  <c r="AA60" i="1"/>
  <c r="X60" i="1"/>
  <c r="W60" i="1"/>
  <c r="V60" i="1"/>
  <c r="U60" i="1"/>
  <c r="S60" i="1"/>
  <c r="Q60" i="1"/>
  <c r="O60" i="1"/>
  <c r="N60" i="1"/>
  <c r="M60" i="1"/>
  <c r="L60" i="1"/>
  <c r="K60" i="1"/>
  <c r="J60" i="1"/>
  <c r="I60" i="1"/>
  <c r="G60" i="1"/>
  <c r="E60" i="1"/>
  <c r="D60" i="1"/>
  <c r="C60" i="1"/>
  <c r="B60" i="1"/>
  <c r="Y60" i="1" s="1"/>
  <c r="CD59" i="1"/>
  <c r="AH59" i="1"/>
  <c r="AF59" i="1"/>
  <c r="AF47" i="1" s="1"/>
  <c r="AD59" i="1"/>
  <c r="AD47" i="1" s="1"/>
  <c r="AB59" i="1"/>
  <c r="Z59" i="1"/>
  <c r="Y59" i="1"/>
  <c r="X59" i="1"/>
  <c r="V59" i="1"/>
  <c r="T59" i="1"/>
  <c r="R59" i="1"/>
  <c r="R47" i="1" s="1"/>
  <c r="P59" i="1"/>
  <c r="N59" i="1"/>
  <c r="L59" i="1"/>
  <c r="L47" i="1" s="1"/>
  <c r="J59" i="1"/>
  <c r="J47" i="1" s="1"/>
  <c r="H59" i="1"/>
  <c r="H47" i="1" s="1"/>
  <c r="F59" i="1"/>
  <c r="D59" i="1"/>
  <c r="CD58" i="1"/>
  <c r="AH58" i="1"/>
  <c r="AF58" i="1"/>
  <c r="AD58" i="1"/>
  <c r="AB58" i="1"/>
  <c r="Z58" i="1"/>
  <c r="Y58" i="1"/>
  <c r="X58" i="1"/>
  <c r="V58" i="1"/>
  <c r="T58" i="1"/>
  <c r="R58" i="1"/>
  <c r="P58" i="1"/>
  <c r="N58" i="1"/>
  <c r="L58" i="1"/>
  <c r="J58" i="1"/>
  <c r="H58" i="1"/>
  <c r="F58" i="1"/>
  <c r="D58" i="1"/>
  <c r="CD57" i="1"/>
  <c r="AH57" i="1"/>
  <c r="AF57" i="1"/>
  <c r="AD57" i="1"/>
  <c r="AB57" i="1"/>
  <c r="Z57" i="1"/>
  <c r="Y57" i="1"/>
  <c r="X57" i="1"/>
  <c r="V57" i="1"/>
  <c r="T57" i="1"/>
  <c r="R57" i="1"/>
  <c r="P57" i="1"/>
  <c r="N57" i="1"/>
  <c r="L57" i="1"/>
  <c r="J57" i="1"/>
  <c r="H57" i="1"/>
  <c r="F57" i="1"/>
  <c r="D57" i="1"/>
  <c r="CD56" i="1"/>
  <c r="AH56" i="1"/>
  <c r="AF56" i="1"/>
  <c r="AD56" i="1"/>
  <c r="AB56" i="1"/>
  <c r="Z56" i="1"/>
  <c r="Y56" i="1"/>
  <c r="X56" i="1"/>
  <c r="V56" i="1"/>
  <c r="T56" i="1"/>
  <c r="R56" i="1"/>
  <c r="P56" i="1"/>
  <c r="N56" i="1"/>
  <c r="L56" i="1"/>
  <c r="J56" i="1"/>
  <c r="H56" i="1"/>
  <c r="F56" i="1"/>
  <c r="D56" i="1"/>
  <c r="CD55" i="1"/>
  <c r="AH55" i="1"/>
  <c r="AF55" i="1"/>
  <c r="AD55" i="1"/>
  <c r="AB55" i="1"/>
  <c r="Z55" i="1"/>
  <c r="Y55" i="1"/>
  <c r="X55" i="1"/>
  <c r="V55" i="1"/>
  <c r="T55" i="1"/>
  <c r="R55" i="1"/>
  <c r="P55" i="1"/>
  <c r="N55" i="1"/>
  <c r="L55" i="1"/>
  <c r="J55" i="1"/>
  <c r="H55" i="1"/>
  <c r="F55" i="1"/>
  <c r="D55" i="1"/>
  <c r="CD54" i="1"/>
  <c r="AH54" i="1"/>
  <c r="AF54" i="1"/>
  <c r="AD54" i="1"/>
  <c r="AB54" i="1"/>
  <c r="Z54" i="1"/>
  <c r="Y54" i="1"/>
  <c r="X54" i="1"/>
  <c r="V54" i="1"/>
  <c r="T54" i="1"/>
  <c r="R54" i="1"/>
  <c r="P54" i="1"/>
  <c r="N54" i="1"/>
  <c r="L54" i="1"/>
  <c r="J54" i="1"/>
  <c r="H54" i="1"/>
  <c r="F54" i="1"/>
  <c r="D54" i="1"/>
  <c r="AH53" i="1"/>
  <c r="AF53" i="1"/>
  <c r="AD53" i="1"/>
  <c r="AB53" i="1"/>
  <c r="Y53" i="1"/>
  <c r="Z53" i="1" s="1"/>
  <c r="X53" i="1"/>
  <c r="V53" i="1"/>
  <c r="T53" i="1"/>
  <c r="R53" i="1"/>
  <c r="P53" i="1"/>
  <c r="N53" i="1"/>
  <c r="L53" i="1"/>
  <c r="J53" i="1"/>
  <c r="H53" i="1"/>
  <c r="F53" i="1"/>
  <c r="D53" i="1"/>
  <c r="CD52" i="1"/>
  <c r="CC52" i="1"/>
  <c r="AH52" i="1"/>
  <c r="AF52" i="1"/>
  <c r="AD52" i="1"/>
  <c r="AB52" i="1"/>
  <c r="Z52" i="1"/>
  <c r="Y52" i="1"/>
  <c r="X52" i="1"/>
  <c r="V52" i="1"/>
  <c r="R52" i="1"/>
  <c r="P52" i="1"/>
  <c r="N52" i="1"/>
  <c r="L52" i="1"/>
  <c r="J52" i="1"/>
  <c r="H52" i="1"/>
  <c r="F52" i="1"/>
  <c r="D52" i="1"/>
  <c r="CD51" i="1"/>
  <c r="AH51" i="1"/>
  <c r="AF51" i="1"/>
  <c r="AD51" i="1"/>
  <c r="AB51" i="1"/>
  <c r="Y51" i="1"/>
  <c r="Z51" i="1" s="1"/>
  <c r="X51" i="1"/>
  <c r="V51" i="1"/>
  <c r="R51" i="1"/>
  <c r="P51" i="1"/>
  <c r="N51" i="1"/>
  <c r="L51" i="1"/>
  <c r="J51" i="1"/>
  <c r="H51" i="1"/>
  <c r="F51" i="1"/>
  <c r="D51" i="1"/>
  <c r="CD50" i="1"/>
  <c r="AH50" i="1"/>
  <c r="AF50" i="1"/>
  <c r="AD50" i="1"/>
  <c r="AB50" i="1"/>
  <c r="Y50" i="1"/>
  <c r="Z50" i="1" s="1"/>
  <c r="X50" i="1"/>
  <c r="V50" i="1"/>
  <c r="T50" i="1"/>
  <c r="R50" i="1"/>
  <c r="P50" i="1"/>
  <c r="N50" i="1"/>
  <c r="L50" i="1"/>
  <c r="J50" i="1"/>
  <c r="H50" i="1"/>
  <c r="F50" i="1"/>
  <c r="D50" i="1"/>
  <c r="AH49" i="1"/>
  <c r="AF49" i="1"/>
  <c r="AD49" i="1"/>
  <c r="AB49" i="1"/>
  <c r="Y49" i="1"/>
  <c r="Z49" i="1" s="1"/>
  <c r="X49" i="1"/>
  <c r="V49" i="1"/>
  <c r="R49" i="1"/>
  <c r="P49" i="1"/>
  <c r="N49" i="1"/>
  <c r="L49" i="1"/>
  <c r="J49" i="1"/>
  <c r="H49" i="1"/>
  <c r="F49" i="1"/>
  <c r="D49" i="1"/>
  <c r="CC48" i="1"/>
  <c r="CD48" i="1" s="1"/>
  <c r="AH48" i="1"/>
  <c r="AF48" i="1"/>
  <c r="AD48" i="1"/>
  <c r="AB48" i="1"/>
  <c r="Y48" i="1"/>
  <c r="Z48" i="1" s="1"/>
  <c r="X48" i="1"/>
  <c r="V48" i="1"/>
  <c r="R48" i="1"/>
  <c r="P48" i="1"/>
  <c r="N48" i="1"/>
  <c r="L48" i="1"/>
  <c r="J48" i="1"/>
  <c r="H48" i="1"/>
  <c r="F48" i="1"/>
  <c r="D48" i="1"/>
  <c r="AI47" i="1"/>
  <c r="AH47" i="1"/>
  <c r="AG47" i="1"/>
  <c r="AE47" i="1"/>
  <c r="AC47" i="1"/>
  <c r="AB47" i="1"/>
  <c r="AA47" i="1"/>
  <c r="Z47" i="1"/>
  <c r="X47" i="1"/>
  <c r="W47" i="1"/>
  <c r="V47" i="1"/>
  <c r="U47" i="1"/>
  <c r="T47" i="1"/>
  <c r="S47" i="1"/>
  <c r="Q47" i="1"/>
  <c r="P47" i="1"/>
  <c r="O47" i="1"/>
  <c r="N47" i="1"/>
  <c r="M47" i="1"/>
  <c r="K47" i="1"/>
  <c r="I47" i="1"/>
  <c r="G47" i="1"/>
  <c r="F47" i="1"/>
  <c r="E47" i="1"/>
  <c r="D47" i="1"/>
  <c r="C47" i="1"/>
  <c r="B47" i="1"/>
  <c r="Y47" i="1" s="1"/>
  <c r="AH46" i="1"/>
  <c r="AF46" i="1"/>
  <c r="AD46" i="1"/>
  <c r="AB46" i="1"/>
  <c r="Y46" i="1"/>
  <c r="Z46" i="1" s="1"/>
  <c r="Z34" i="1" s="1"/>
  <c r="X46" i="1"/>
  <c r="X34" i="1" s="1"/>
  <c r="V46" i="1"/>
  <c r="V34" i="1" s="1"/>
  <c r="T46" i="1"/>
  <c r="T34" i="1" s="1"/>
  <c r="R46" i="1"/>
  <c r="R34" i="1" s="1"/>
  <c r="P46" i="1"/>
  <c r="N46" i="1"/>
  <c r="N34" i="1" s="1"/>
  <c r="L46" i="1"/>
  <c r="J46" i="1"/>
  <c r="H46" i="1"/>
  <c r="F46" i="1"/>
  <c r="D46" i="1"/>
  <c r="AH45" i="1"/>
  <c r="AF45" i="1"/>
  <c r="AD45" i="1"/>
  <c r="AB45" i="1"/>
  <c r="Z45" i="1"/>
  <c r="Y45" i="1"/>
  <c r="X45" i="1"/>
  <c r="V45" i="1"/>
  <c r="R45" i="1"/>
  <c r="P45" i="1"/>
  <c r="N45" i="1"/>
  <c r="L45" i="1"/>
  <c r="J45" i="1"/>
  <c r="H45" i="1"/>
  <c r="F45" i="1"/>
  <c r="D45" i="1"/>
  <c r="AH44" i="1"/>
  <c r="AF44" i="1"/>
  <c r="AD44" i="1"/>
  <c r="AB44" i="1"/>
  <c r="Y44" i="1"/>
  <c r="Z44" i="1" s="1"/>
  <c r="X44" i="1"/>
  <c r="V44" i="1"/>
  <c r="R44" i="1"/>
  <c r="P44" i="1"/>
  <c r="N44" i="1"/>
  <c r="L44" i="1"/>
  <c r="J44" i="1"/>
  <c r="H44" i="1"/>
  <c r="F44" i="1"/>
  <c r="D44" i="1"/>
  <c r="AH43" i="1"/>
  <c r="AF43" i="1"/>
  <c r="AD43" i="1"/>
  <c r="AB43" i="1"/>
  <c r="Z43" i="1"/>
  <c r="Y43" i="1"/>
  <c r="X43" i="1"/>
  <c r="V43" i="1"/>
  <c r="R43" i="1"/>
  <c r="P43" i="1"/>
  <c r="N43" i="1"/>
  <c r="L43" i="1"/>
  <c r="J43" i="1"/>
  <c r="H43" i="1"/>
  <c r="F43" i="1"/>
  <c r="D43" i="1"/>
  <c r="AH42" i="1"/>
  <c r="AF42" i="1"/>
  <c r="AD42" i="1"/>
  <c r="AB42" i="1"/>
  <c r="Z42" i="1"/>
  <c r="Y42" i="1"/>
  <c r="X42" i="1"/>
  <c r="V42" i="1"/>
  <c r="R42" i="1"/>
  <c r="P42" i="1"/>
  <c r="N42" i="1"/>
  <c r="L42" i="1"/>
  <c r="J42" i="1"/>
  <c r="H42" i="1"/>
  <c r="F42" i="1"/>
  <c r="D42" i="1"/>
  <c r="AH41" i="1"/>
  <c r="AF41" i="1"/>
  <c r="AD41" i="1"/>
  <c r="AB41" i="1"/>
  <c r="Y41" i="1"/>
  <c r="Z41" i="1" s="1"/>
  <c r="X41" i="1"/>
  <c r="V41" i="1"/>
  <c r="R41" i="1"/>
  <c r="P41" i="1"/>
  <c r="N41" i="1"/>
  <c r="L41" i="1"/>
  <c r="J41" i="1"/>
  <c r="H41" i="1"/>
  <c r="F41" i="1"/>
  <c r="D41" i="1"/>
  <c r="AH40" i="1"/>
  <c r="AF40" i="1"/>
  <c r="AD40" i="1"/>
  <c r="AB40" i="1"/>
  <c r="Z40" i="1"/>
  <c r="Y40" i="1"/>
  <c r="X40" i="1"/>
  <c r="V40" i="1"/>
  <c r="R40" i="1"/>
  <c r="P40" i="1"/>
  <c r="N40" i="1"/>
  <c r="L40" i="1"/>
  <c r="J40" i="1"/>
  <c r="H40" i="1"/>
  <c r="F40" i="1"/>
  <c r="D40" i="1"/>
  <c r="AH39" i="1"/>
  <c r="AF39" i="1"/>
  <c r="AD39" i="1"/>
  <c r="AB39" i="1"/>
  <c r="Z39" i="1"/>
  <c r="Y39" i="1"/>
  <c r="X39" i="1"/>
  <c r="V39" i="1"/>
  <c r="R39" i="1"/>
  <c r="P39" i="1"/>
  <c r="N39" i="1"/>
  <c r="L39" i="1"/>
  <c r="J39" i="1"/>
  <c r="H39" i="1"/>
  <c r="F39" i="1"/>
  <c r="D39" i="1"/>
  <c r="AH38" i="1"/>
  <c r="AF38" i="1"/>
  <c r="AD38" i="1"/>
  <c r="AB38" i="1"/>
  <c r="Y38" i="1"/>
  <c r="Z38" i="1" s="1"/>
  <c r="X38" i="1"/>
  <c r="V38" i="1"/>
  <c r="R38" i="1"/>
  <c r="P38" i="1"/>
  <c r="N38" i="1"/>
  <c r="L38" i="1"/>
  <c r="J38" i="1"/>
  <c r="H38" i="1"/>
  <c r="F38" i="1"/>
  <c r="D38" i="1"/>
  <c r="AH37" i="1"/>
  <c r="AF37" i="1"/>
  <c r="AD37" i="1"/>
  <c r="AB37" i="1"/>
  <c r="Z37" i="1"/>
  <c r="Y37" i="1"/>
  <c r="X37" i="1"/>
  <c r="V37" i="1"/>
  <c r="R37" i="1"/>
  <c r="P37" i="1"/>
  <c r="N37" i="1"/>
  <c r="L37" i="1"/>
  <c r="J37" i="1"/>
  <c r="H37" i="1"/>
  <c r="F37" i="1"/>
  <c r="D37" i="1"/>
  <c r="AH36" i="1"/>
  <c r="AF36" i="1"/>
  <c r="AD36" i="1"/>
  <c r="AB36" i="1"/>
  <c r="Z36" i="1"/>
  <c r="Y36" i="1"/>
  <c r="X36" i="1"/>
  <c r="V36" i="1"/>
  <c r="R36" i="1"/>
  <c r="P36" i="1"/>
  <c r="N36" i="1"/>
  <c r="L36" i="1"/>
  <c r="J36" i="1"/>
  <c r="H36" i="1"/>
  <c r="F36" i="1"/>
  <c r="D36" i="1"/>
  <c r="AH35" i="1"/>
  <c r="AF35" i="1"/>
  <c r="AD35" i="1"/>
  <c r="AB35" i="1"/>
  <c r="Y35" i="1"/>
  <c r="Z35" i="1" s="1"/>
  <c r="X35" i="1"/>
  <c r="V35" i="1"/>
  <c r="R35" i="1"/>
  <c r="P35" i="1"/>
  <c r="N35" i="1"/>
  <c r="L35" i="1"/>
  <c r="J35" i="1"/>
  <c r="H35" i="1"/>
  <c r="F35" i="1"/>
  <c r="D35" i="1"/>
  <c r="AI34" i="1"/>
  <c r="AH34" i="1"/>
  <c r="AG34" i="1"/>
  <c r="AF34" i="1"/>
  <c r="AE34" i="1"/>
  <c r="AD34" i="1"/>
  <c r="AC34" i="1"/>
  <c r="AB34" i="1"/>
  <c r="AA34" i="1"/>
  <c r="W34" i="1"/>
  <c r="U34" i="1"/>
  <c r="S34" i="1"/>
  <c r="Q34" i="1"/>
  <c r="P34" i="1"/>
  <c r="O34" i="1"/>
  <c r="M34" i="1"/>
  <c r="L34" i="1"/>
  <c r="K34" i="1"/>
  <c r="J34" i="1"/>
  <c r="I34" i="1"/>
  <c r="H34" i="1"/>
  <c r="G34" i="1"/>
  <c r="F34" i="1"/>
  <c r="E34" i="1"/>
  <c r="D34" i="1"/>
  <c r="C34" i="1"/>
  <c r="Y34" i="1" s="1"/>
  <c r="B34" i="1"/>
  <c r="Y33" i="1"/>
  <c r="AI32" i="1"/>
  <c r="AI20" i="1" s="1"/>
  <c r="AH32" i="1"/>
  <c r="AF32" i="1"/>
  <c r="AF20" i="1" s="1"/>
  <c r="AD32" i="1"/>
  <c r="AB32" i="1"/>
  <c r="W32" i="1"/>
  <c r="X32" i="1" s="1"/>
  <c r="X20" i="1" s="1"/>
  <c r="V32" i="1"/>
  <c r="V20" i="1" s="1"/>
  <c r="R32" i="1"/>
  <c r="P32" i="1"/>
  <c r="O32" i="1"/>
  <c r="M32" i="1"/>
  <c r="N32" i="1" s="1"/>
  <c r="N20" i="1" s="1"/>
  <c r="K32" i="1"/>
  <c r="L32" i="1" s="1"/>
  <c r="L20" i="1" s="1"/>
  <c r="J32" i="1"/>
  <c r="G32" i="1"/>
  <c r="G20" i="1" s="1"/>
  <c r="E32" i="1"/>
  <c r="F32" i="1" s="1"/>
  <c r="F20" i="1" s="1"/>
  <c r="D32" i="1"/>
  <c r="AI31" i="1"/>
  <c r="AH31" i="1"/>
  <c r="AF31" i="1"/>
  <c r="AD31" i="1"/>
  <c r="AB31" i="1"/>
  <c r="W31" i="1"/>
  <c r="X31" i="1" s="1"/>
  <c r="V31" i="1"/>
  <c r="R31" i="1"/>
  <c r="O31" i="1"/>
  <c r="P31" i="1" s="1"/>
  <c r="M31" i="1"/>
  <c r="N31" i="1" s="1"/>
  <c r="K31" i="1"/>
  <c r="L31" i="1" s="1"/>
  <c r="J31" i="1"/>
  <c r="H31" i="1"/>
  <c r="G31" i="1"/>
  <c r="E31" i="1"/>
  <c r="Y31" i="1" s="1"/>
  <c r="Z31" i="1" s="1"/>
  <c r="D31" i="1"/>
  <c r="AI30" i="1"/>
  <c r="AH30" i="1"/>
  <c r="AF30" i="1"/>
  <c r="AD30" i="1"/>
  <c r="AB30" i="1"/>
  <c r="X30" i="1"/>
  <c r="V30" i="1"/>
  <c r="R30" i="1"/>
  <c r="O30" i="1"/>
  <c r="Y30" i="1" s="1"/>
  <c r="Z30" i="1" s="1"/>
  <c r="M30" i="1"/>
  <c r="N30" i="1" s="1"/>
  <c r="K30" i="1"/>
  <c r="L30" i="1" s="1"/>
  <c r="J30" i="1"/>
  <c r="G30" i="1"/>
  <c r="H30" i="1" s="1"/>
  <c r="F30" i="1"/>
  <c r="E30" i="1"/>
  <c r="D30" i="1"/>
  <c r="AH29" i="1"/>
  <c r="AF29" i="1"/>
  <c r="AD29" i="1"/>
  <c r="AB29" i="1"/>
  <c r="W29" i="1"/>
  <c r="X29" i="1" s="1"/>
  <c r="V29" i="1"/>
  <c r="R29" i="1"/>
  <c r="O29" i="1"/>
  <c r="P29" i="1" s="1"/>
  <c r="M29" i="1"/>
  <c r="N29" i="1" s="1"/>
  <c r="K29" i="1"/>
  <c r="L29" i="1" s="1"/>
  <c r="J29" i="1"/>
  <c r="G29" i="1"/>
  <c r="H29" i="1" s="1"/>
  <c r="E29" i="1"/>
  <c r="Y29" i="1" s="1"/>
  <c r="Z29" i="1" s="1"/>
  <c r="D29" i="1"/>
  <c r="AI28" i="1"/>
  <c r="AH28" i="1"/>
  <c r="AF28" i="1"/>
  <c r="AD28" i="1"/>
  <c r="AB28" i="1"/>
  <c r="W28" i="1"/>
  <c r="X28" i="1" s="1"/>
  <c r="V28" i="1"/>
  <c r="R28" i="1"/>
  <c r="P28" i="1"/>
  <c r="O28" i="1"/>
  <c r="M28" i="1"/>
  <c r="N28" i="1" s="1"/>
  <c r="L28" i="1"/>
  <c r="K28" i="1"/>
  <c r="J28" i="1"/>
  <c r="G28" i="1"/>
  <c r="H28" i="1" s="1"/>
  <c r="E28" i="1"/>
  <c r="Y28" i="1" s="1"/>
  <c r="Z28" i="1" s="1"/>
  <c r="D28" i="1"/>
  <c r="AI27" i="1"/>
  <c r="AH27" i="1"/>
  <c r="AF27" i="1"/>
  <c r="AD27" i="1"/>
  <c r="AB27" i="1"/>
  <c r="W27" i="1"/>
  <c r="X27" i="1" s="1"/>
  <c r="V27" i="1"/>
  <c r="R27" i="1"/>
  <c r="O27" i="1"/>
  <c r="P27" i="1" s="1"/>
  <c r="M27" i="1"/>
  <c r="N27" i="1" s="1"/>
  <c r="K27" i="1"/>
  <c r="L27" i="1" s="1"/>
  <c r="J27" i="1"/>
  <c r="H27" i="1"/>
  <c r="G27" i="1"/>
  <c r="E27" i="1"/>
  <c r="F27" i="1" s="1"/>
  <c r="D27" i="1"/>
  <c r="AI26" i="1"/>
  <c r="AH26" i="1"/>
  <c r="AF26" i="1"/>
  <c r="AD26" i="1"/>
  <c r="AB26" i="1"/>
  <c r="X26" i="1"/>
  <c r="W26" i="1"/>
  <c r="V26" i="1"/>
  <c r="R26" i="1"/>
  <c r="O26" i="1"/>
  <c r="P26" i="1" s="1"/>
  <c r="N26" i="1"/>
  <c r="M26" i="1"/>
  <c r="K26" i="1"/>
  <c r="L26" i="1" s="1"/>
  <c r="J26" i="1"/>
  <c r="G26" i="1"/>
  <c r="H26" i="1" s="1"/>
  <c r="E26" i="1"/>
  <c r="F26" i="1" s="1"/>
  <c r="D26" i="1"/>
  <c r="AI25" i="1"/>
  <c r="AH25" i="1"/>
  <c r="AF25" i="1"/>
  <c r="AD25" i="1"/>
  <c r="AB25" i="1"/>
  <c r="Y25" i="1"/>
  <c r="Z25" i="1" s="1"/>
  <c r="W25" i="1"/>
  <c r="X25" i="1" s="1"/>
  <c r="V25" i="1"/>
  <c r="R25" i="1"/>
  <c r="O25" i="1"/>
  <c r="P25" i="1" s="1"/>
  <c r="M25" i="1"/>
  <c r="N25" i="1" s="1"/>
  <c r="K25" i="1"/>
  <c r="L25" i="1" s="1"/>
  <c r="J25" i="1"/>
  <c r="H25" i="1"/>
  <c r="G25" i="1"/>
  <c r="F25" i="1"/>
  <c r="E25" i="1"/>
  <c r="D25" i="1"/>
  <c r="AI24" i="1"/>
  <c r="AH24" i="1"/>
  <c r="AF24" i="1"/>
  <c r="AD24" i="1"/>
  <c r="AB24" i="1"/>
  <c r="X24" i="1"/>
  <c r="W24" i="1"/>
  <c r="V24" i="1"/>
  <c r="R24" i="1"/>
  <c r="O24" i="1"/>
  <c r="P24" i="1" s="1"/>
  <c r="M24" i="1"/>
  <c r="N24" i="1" s="1"/>
  <c r="L24" i="1"/>
  <c r="K24" i="1"/>
  <c r="J24" i="1"/>
  <c r="G24" i="1"/>
  <c r="H24" i="1" s="1"/>
  <c r="E24" i="1"/>
  <c r="F24" i="1" s="1"/>
  <c r="D24" i="1"/>
  <c r="AI23" i="1"/>
  <c r="AH23" i="1"/>
  <c r="AF23" i="1"/>
  <c r="AD23" i="1"/>
  <c r="AB23" i="1"/>
  <c r="W23" i="1"/>
  <c r="X23" i="1" s="1"/>
  <c r="V23" i="1"/>
  <c r="R23" i="1"/>
  <c r="O23" i="1"/>
  <c r="P23" i="1" s="1"/>
  <c r="M23" i="1"/>
  <c r="N23" i="1" s="1"/>
  <c r="K23" i="1"/>
  <c r="L23" i="1" s="1"/>
  <c r="J23" i="1"/>
  <c r="G23" i="1"/>
  <c r="Y23" i="1" s="1"/>
  <c r="Z23" i="1" s="1"/>
  <c r="F23" i="1"/>
  <c r="E23" i="1"/>
  <c r="D23" i="1"/>
  <c r="AI22" i="1"/>
  <c r="AH22" i="1"/>
  <c r="AF22" i="1"/>
  <c r="AD22" i="1"/>
  <c r="AB22" i="1"/>
  <c r="W22" i="1"/>
  <c r="X22" i="1" s="1"/>
  <c r="V22" i="1"/>
  <c r="R22" i="1"/>
  <c r="P22" i="1"/>
  <c r="O22" i="1"/>
  <c r="M22" i="1"/>
  <c r="N22" i="1" s="1"/>
  <c r="K22" i="1"/>
  <c r="L22" i="1" s="1"/>
  <c r="J22" i="1"/>
  <c r="G22" i="1"/>
  <c r="H22" i="1" s="1"/>
  <c r="E22" i="1"/>
  <c r="F22" i="1" s="1"/>
  <c r="D22" i="1"/>
  <c r="AI21" i="1"/>
  <c r="AH21" i="1"/>
  <c r="AF21" i="1"/>
  <c r="AD21" i="1"/>
  <c r="AB21" i="1"/>
  <c r="W21" i="1"/>
  <c r="X21" i="1" s="1"/>
  <c r="V21" i="1"/>
  <c r="R21" i="1"/>
  <c r="O21" i="1"/>
  <c r="P21" i="1" s="1"/>
  <c r="M21" i="1"/>
  <c r="N21" i="1" s="1"/>
  <c r="K21" i="1"/>
  <c r="L21" i="1" s="1"/>
  <c r="J21" i="1"/>
  <c r="H21" i="1"/>
  <c r="G21" i="1"/>
  <c r="E21" i="1"/>
  <c r="Y21" i="1" s="1"/>
  <c r="Z21" i="1" s="1"/>
  <c r="D21" i="1"/>
  <c r="AH20" i="1"/>
  <c r="AG20" i="1"/>
  <c r="AE20" i="1"/>
  <c r="AD20" i="1"/>
  <c r="AC20" i="1"/>
  <c r="AB20" i="1"/>
  <c r="AA20" i="1"/>
  <c r="U20" i="1"/>
  <c r="R20" i="1"/>
  <c r="Q20" i="1"/>
  <c r="P20" i="1"/>
  <c r="O20" i="1"/>
  <c r="M20" i="1"/>
  <c r="K20" i="1"/>
  <c r="J20" i="1"/>
  <c r="I20" i="1"/>
  <c r="D20" i="1"/>
  <c r="C20" i="1"/>
  <c r="B20" i="1"/>
  <c r="AH19" i="1"/>
  <c r="AF19" i="1"/>
  <c r="AD19" i="1"/>
  <c r="AB19" i="1"/>
  <c r="X19" i="1"/>
  <c r="V19" i="1"/>
  <c r="R19" i="1"/>
  <c r="O19" i="1"/>
  <c r="P19" i="1" s="1"/>
  <c r="N19" i="1"/>
  <c r="L19" i="1"/>
  <c r="J19" i="1"/>
  <c r="H19" i="1"/>
  <c r="F19" i="1"/>
  <c r="D19" i="1"/>
  <c r="AI18" i="1"/>
  <c r="AH18" i="1"/>
  <c r="AF18" i="1"/>
  <c r="AD18" i="1"/>
  <c r="AB18" i="1"/>
  <c r="W18" i="1"/>
  <c r="X18" i="1" s="1"/>
  <c r="U18" i="1"/>
  <c r="V18" i="1" s="1"/>
  <c r="Q18" i="1"/>
  <c r="R18" i="1" s="1"/>
  <c r="P18" i="1"/>
  <c r="M18" i="1"/>
  <c r="N18" i="1" s="1"/>
  <c r="K18" i="1"/>
  <c r="L18" i="1" s="1"/>
  <c r="J18" i="1"/>
  <c r="I18" i="1"/>
  <c r="G18" i="1"/>
  <c r="H18" i="1" s="1"/>
  <c r="F18" i="1"/>
  <c r="E18" i="1"/>
  <c r="D18" i="1"/>
  <c r="Y17" i="1"/>
  <c r="Z17" i="1" s="1"/>
  <c r="X17" i="1"/>
  <c r="V17" i="1"/>
  <c r="R17" i="1"/>
  <c r="P17" i="1"/>
  <c r="N17" i="1"/>
  <c r="L17" i="1"/>
  <c r="J17" i="1"/>
  <c r="H17" i="1"/>
  <c r="F17" i="1"/>
  <c r="D17" i="1"/>
  <c r="Z16" i="1"/>
  <c r="X16" i="1"/>
  <c r="V16" i="1"/>
  <c r="R16" i="1"/>
  <c r="P16" i="1"/>
  <c r="N16" i="1"/>
  <c r="L16" i="1"/>
  <c r="J16" i="1"/>
  <c r="H16" i="1"/>
  <c r="F16" i="1"/>
  <c r="D16" i="1"/>
  <c r="Z15" i="1"/>
  <c r="X15" i="1"/>
  <c r="R15" i="1"/>
  <c r="P15" i="1"/>
  <c r="N15" i="1"/>
  <c r="L15" i="1"/>
  <c r="J15" i="1"/>
  <c r="H15" i="1"/>
  <c r="F15" i="1"/>
  <c r="Y24" i="1" l="1"/>
  <c r="Z24" i="1" s="1"/>
  <c r="P30" i="1"/>
  <c r="Y18" i="1"/>
  <c r="Z18" i="1" s="1"/>
  <c r="F29" i="1"/>
  <c r="E20" i="1"/>
  <c r="Y19" i="1"/>
  <c r="Z19" i="1" s="1"/>
  <c r="Y27" i="1"/>
  <c r="Z27" i="1" s="1"/>
  <c r="J150" i="1"/>
  <c r="W20" i="1"/>
  <c r="Y26" i="1"/>
  <c r="Z26" i="1" s="1"/>
  <c r="L150" i="1"/>
  <c r="Y145" i="1"/>
  <c r="Z145" i="1" s="1"/>
  <c r="F21" i="1"/>
  <c r="H23" i="1"/>
  <c r="F31" i="1"/>
  <c r="Y22" i="1"/>
  <c r="Z22" i="1" s="1"/>
  <c r="H32" i="1"/>
  <c r="H20" i="1" s="1"/>
  <c r="Y32" i="1"/>
  <c r="Z32" i="1" s="1"/>
  <c r="Z20" i="1" s="1"/>
  <c r="Y150" i="1"/>
  <c r="Z150" i="1" s="1"/>
  <c r="AF150" i="1"/>
  <c r="F28" i="1"/>
  <c r="F150" i="1"/>
  <c r="Y20" i="1" l="1"/>
</calcChain>
</file>

<file path=xl/sharedStrings.xml><?xml version="1.0" encoding="utf-8"?>
<sst xmlns="http://schemas.openxmlformats.org/spreadsheetml/2006/main" count="534" uniqueCount="98">
  <si>
    <r>
      <t>Cədvəl 2.8. Kredit qoyuluşlarının sahələr üzrə strukturu</t>
    </r>
    <r>
      <rPr>
        <b/>
        <i/>
        <sz val="20"/>
        <color rgb="FF366092"/>
        <rFont val="Times New Roman"/>
        <family val="1"/>
      </rPr>
      <t xml:space="preserve"> (dövrün sonuna)</t>
    </r>
  </si>
  <si>
    <r>
      <t xml:space="preserve">Table 2.8. Sectoral breakdown of loans </t>
    </r>
    <r>
      <rPr>
        <i/>
        <sz val="20"/>
        <color rgb="FF366092"/>
        <rFont val="Times New Roman"/>
        <family val="1"/>
      </rPr>
      <t>(end of period)</t>
    </r>
  </si>
  <si>
    <t>mln. manat</t>
  </si>
  <si>
    <t>Tarix</t>
  </si>
  <si>
    <t>Real sektora kredit qoyuluşu</t>
  </si>
  <si>
    <t>Maliyyə sektoruna kredit qoyuluşu</t>
  </si>
  <si>
    <t>Cəmi</t>
  </si>
  <si>
    <t>o cümlədən:</t>
  </si>
  <si>
    <t>Ticarət və xidmət sektoru</t>
  </si>
  <si>
    <t>Mədənçıxarma və elektrik enerjisi, qaz, buxar və su təsərrüfatı sektoru</t>
  </si>
  <si>
    <t>Kənd təsərrüfatı, meşə təsərrüfatı və balıqçılıq sektoru</t>
  </si>
  <si>
    <t>İnşaat və tikinti sektoru</t>
  </si>
  <si>
    <t>Sənaye və istehsal sektoru</t>
  </si>
  <si>
    <t>Nəqliyyat və rabitə sektoru</t>
  </si>
  <si>
    <t>Ev təsərrüfatlarına</t>
  </si>
  <si>
    <t>o cümlədən daşınmaz əmlakla əlaqədar əməliyyatlar (ipoteka krediti daxil olmaqla)</t>
  </si>
  <si>
    <t>Digər sektorlarda fəaliyyət göstərən dövlət mülkiyyətində olan hüquqi şəxslər, bələdiyyələr və ictimai təşkilatlara</t>
  </si>
  <si>
    <t>Büdcə təşkilatlarına və dövlət fondlarına</t>
  </si>
  <si>
    <t>Digər sektorlar</t>
  </si>
  <si>
    <t xml:space="preserve">Akkreditivlər üzrə </t>
  </si>
  <si>
    <t>Qarantiyalar üzrə</t>
  </si>
  <si>
    <t>Faktorinq əməliyyatları</t>
  </si>
  <si>
    <t>Overdraft</t>
  </si>
  <si>
    <t>vaxtı keçmiş kredit</t>
  </si>
  <si>
    <t>xüsusi çəkisi, %-lə</t>
  </si>
  <si>
    <t>cəmi</t>
  </si>
  <si>
    <t>Date</t>
  </si>
  <si>
    <t>Loans to real sector</t>
  </si>
  <si>
    <t>Total</t>
  </si>
  <si>
    <t>of which:</t>
  </si>
  <si>
    <t>Trade and services</t>
  </si>
  <si>
    <t xml:space="preserve">Mining, electricity, gas, steam and water </t>
  </si>
  <si>
    <t xml:space="preserve">Agriculture, forestry and fisheries </t>
  </si>
  <si>
    <t>Building and construction</t>
  </si>
  <si>
    <t>Industry and manufacturing</t>
  </si>
  <si>
    <t>Transportation and communication</t>
  </si>
  <si>
    <t>Households</t>
  </si>
  <si>
    <t>of which: transactions related real estate (including mortgage loans)</t>
  </si>
  <si>
    <t>State-owned legal entities, municipalities and public organizations in other sectors</t>
  </si>
  <si>
    <t xml:space="preserve">Budget organizations and state funds </t>
  </si>
  <si>
    <t>Other sectors</t>
  </si>
  <si>
    <t xml:space="preserve">Letter of credit </t>
  </si>
  <si>
    <t>Guarantees</t>
  </si>
  <si>
    <t>Factoring operations</t>
  </si>
  <si>
    <t>Loans to financial sector</t>
  </si>
  <si>
    <t>overdue loans</t>
  </si>
  <si>
    <t>share, %</t>
  </si>
  <si>
    <t>total</t>
  </si>
  <si>
    <t>-</t>
  </si>
  <si>
    <t xml:space="preserve"> -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</si>
  <si>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</si>
  <si>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</si>
  <si>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</si>
  <si>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</si>
  <si>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</si>
  <si>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</si>
  <si>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</si>
  <si>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</si>
  <si>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</si>
  <si>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</si>
  <si>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</si>
  <si>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</si>
  <si>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2009</t>
  </si>
  <si>
    <t>2010</t>
  </si>
  <si>
    <t>2011</t>
  </si>
  <si>
    <t>2012</t>
  </si>
  <si>
    <t>2013</t>
  </si>
  <si>
    <t>2014</t>
  </si>
  <si>
    <t>2015</t>
  </si>
  <si>
    <t>19113.5*</t>
  </si>
  <si>
    <t>18566.4*</t>
  </si>
  <si>
    <t>2016</t>
  </si>
  <si>
    <t>2017</t>
  </si>
  <si>
    <t>2018</t>
  </si>
  <si>
    <t>2019</t>
  </si>
  <si>
    <t>2020</t>
  </si>
  <si>
    <t>15146.8*</t>
  </si>
  <si>
    <t>14765.7*</t>
  </si>
  <si>
    <t>2022</t>
  </si>
  <si>
    <t>2023</t>
  </si>
  <si>
    <t>2024</t>
  </si>
  <si>
    <t>*Kredit qoyuluşlarında azalma lisenziyası ləğv edilmiş banklarla əlaqədardır.</t>
  </si>
  <si>
    <r>
      <t xml:space="preserve">Qeyd: Göstəricilər Beynəlxalq Valyuta Fondunun "Pul və Maliyyə Statistikası" metodologiyasına əsasən hesablanır / Note: </t>
    </r>
    <r>
      <rPr>
        <i/>
        <sz val="12"/>
        <color theme="8" tint="-0.249977111117893"/>
        <rFont val="Times New Roman"/>
        <family val="1"/>
      </rPr>
      <t>According to IMF's "Monetary and Financial Statistics"</t>
    </r>
  </si>
  <si>
    <r>
      <t xml:space="preserve">Mənbə: Azərbaycan Respublikasının Mərkəzi Bankı  / </t>
    </r>
    <r>
      <rPr>
        <i/>
        <sz val="12"/>
        <color theme="8" tint="-0.249977111117893"/>
        <rFont val="Times New Roman"/>
        <family val="1"/>
      </rPr>
      <t>Source: The Central Bank of the Republic of Azerbaijan</t>
    </r>
  </si>
  <si>
    <r>
      <t>Cədvəl 2.8.d. Kredit qoyuluşlarının sahələr üzrə strukturu</t>
    </r>
    <r>
      <rPr>
        <b/>
        <i/>
        <sz val="20"/>
        <color rgb="FF366092"/>
        <rFont val="Times New Roman"/>
        <family val="1"/>
        <charset val="162"/>
      </rPr>
      <t xml:space="preserve"> (dövrün sonuna)</t>
    </r>
  </si>
  <si>
    <r>
      <t xml:space="preserve">Table 2.8.d. Sectoral breakdown of loans </t>
    </r>
    <r>
      <rPr>
        <i/>
        <sz val="20"/>
        <color rgb="FF366092"/>
        <rFont val="Times New Roman"/>
        <family val="1"/>
        <charset val="162"/>
      </rPr>
      <t>(end of period)</t>
    </r>
  </si>
  <si>
    <t>Kredit portfeli</t>
  </si>
  <si>
    <t>o cümlədən: vaxtı keçmiş kredit</t>
  </si>
  <si>
    <t>Xüsusi çəkisi, %</t>
  </si>
  <si>
    <t>Bank</t>
  </si>
  <si>
    <t>Qeyri-bank</t>
  </si>
  <si>
    <t>Loans</t>
  </si>
  <si>
    <t>Household loans</t>
  </si>
  <si>
    <t>Letter of credit</t>
  </si>
  <si>
    <t>of which: 
overdue loans</t>
  </si>
  <si>
    <t>Non-bank</t>
  </si>
  <si>
    <r>
      <t xml:space="preserve">Qeyd: Göstəricilər Beynəlxalq Valyuta Fondunun "Pul və Maliyyə Statistikası" metodologiyasına əsasən hesablanır / Note: </t>
    </r>
    <r>
      <rPr>
        <i/>
        <sz val="12"/>
        <color rgb="FF31869E"/>
        <rFont val="Times New Roman"/>
        <family val="1"/>
        <charset val="162"/>
      </rPr>
      <t>According to IMF's "Monetary and Financial Statistics"</t>
    </r>
  </si>
  <si>
    <r>
      <t xml:space="preserve">Mənbə: Azərbaycan Respublikasının Mərkəzi Bankı  / </t>
    </r>
    <r>
      <rPr>
        <i/>
        <sz val="12"/>
        <color rgb="FF31869E"/>
        <rFont val="Times New Roman"/>
        <family val="1"/>
        <charset val="162"/>
      </rPr>
      <t>Source: The Central Bank of the Republic of Azerbaijan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</si>
</sst>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* #,##0.00_);_(* \(#,##0.00\);_(* &quot;-&quot;??_);_(@_)"/>
    <numFmt numFmtId="165" formatCode="0.0"/>
    <numFmt numFmtId="166" formatCode="_(* #,##0.0_);_(* \(#,##0.0\);_(* &quot;-&quot;??_);_(@_)"/>
    <numFmt numFmtId="167" formatCode="0.000"/>
    <numFmt numFmtId="168" formatCode="###\ ###\ ###\ ###\ ###\ ##0.00"/>
    <numFmt numFmtId="169" formatCode="0.000000"/>
    <numFmt numFmtId="170" formatCode="0.0000"/>
    <numFmt numFmtId="171" formatCode="0.00000"/>
    <numFmt numFmtId="172" formatCode="0.0000000000"/>
    <numFmt numFmtId="173" formatCode="0.000000000"/>
    <numFmt numFmtId="174" formatCode="0.0000000"/>
    <numFmt numFmtId="175" formatCode="0.000000000000000000"/>
  </numFmts>
  <fonts count="34" x14ac:knownFonts="1">
    <font>
      <sz val="11"/>
      <color theme="1"/>
      <name val="Times New Roman"/>
      <family val="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10"/>
      <name val="Arial"/>
      <family val="2"/>
    </font>
    <font>
      <b/>
      <sz val="20"/>
      <color rgb="FF366092"/>
      <name val="Times New Roman"/>
      <family val="1"/>
      <charset val="162"/>
    </font>
    <font>
      <b/>
      <i/>
      <sz val="20"/>
      <color rgb="FF366092"/>
      <name val="Times New Roman"/>
      <family val="1"/>
    </font>
    <font>
      <sz val="20"/>
      <color rgb="FF366092"/>
      <name val="Times New Roman"/>
      <family val="1"/>
      <charset val="162"/>
    </font>
    <font>
      <i/>
      <sz val="20"/>
      <color rgb="FF366092"/>
      <name val="Times New Roman"/>
      <family val="1"/>
    </font>
    <font>
      <sz val="18"/>
      <color rgb="FF366092"/>
      <name val="Times New Roman"/>
      <family val="1"/>
      <charset val="162"/>
    </font>
    <font>
      <b/>
      <sz val="16"/>
      <color theme="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2"/>
    </font>
    <font>
      <b/>
      <i/>
      <sz val="12"/>
      <color theme="8" tint="-0.249977111117893"/>
      <name val="Times New Roman"/>
      <family val="1"/>
    </font>
    <font>
      <sz val="12"/>
      <color theme="8" tint="-0.249977111117893"/>
      <name val="Times New Roman"/>
      <family val="1"/>
    </font>
    <font>
      <i/>
      <sz val="12"/>
      <color theme="8" tint="-0.249977111117893"/>
      <name val="Times New Roman"/>
      <family val="1"/>
    </font>
    <font>
      <sz val="12"/>
      <color theme="0" tint="-0.34998626667073579"/>
      <name val="Times New Roman"/>
      <family val="1"/>
      <charset val="162"/>
    </font>
    <font>
      <sz val="11"/>
      <color theme="1"/>
      <name val="Calibri"/>
      <family val="2"/>
    </font>
    <font>
      <b/>
      <sz val="8"/>
      <color theme="1"/>
      <name val="Calibri"/>
      <family val="2"/>
    </font>
    <font>
      <sz val="11"/>
      <color theme="1"/>
      <name val="Times New Roman"/>
      <family val="2"/>
    </font>
    <font>
      <b/>
      <i/>
      <sz val="20"/>
      <color rgb="FF366092"/>
      <name val="Times New Roman"/>
      <family val="1"/>
      <charset val="162"/>
    </font>
    <font>
      <i/>
      <sz val="20"/>
      <color rgb="FF366092"/>
      <name val="Times New Roman"/>
      <family val="1"/>
      <charset val="162"/>
    </font>
    <font>
      <b/>
      <sz val="14"/>
      <color theme="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1"/>
      <name val="Times New Roman"/>
      <family val="1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Calibri"/>
      <family val="2"/>
      <charset val="186"/>
      <scheme val="minor"/>
    </font>
    <font>
      <b/>
      <i/>
      <sz val="12"/>
      <color rgb="FF31869E"/>
      <name val="Times New Roman"/>
      <family val="1"/>
      <charset val="162"/>
    </font>
    <font>
      <sz val="12"/>
      <color theme="8" tint="-0.249977111117893"/>
      <name val="Times New Roman"/>
      <family val="1"/>
      <charset val="162"/>
    </font>
    <font>
      <i/>
      <sz val="12"/>
      <color rgb="FF31869E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31869B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2EA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164" fontId="15" fillId="0" borderId="0" applyFont="0" applyFill="0" applyBorder="0" applyAlignment="0" applyProtection="0"/>
    <xf numFmtId="0" fontId="3" fillId="0" borderId="0"/>
    <xf numFmtId="0" fontId="3" fillId="0" borderId="0"/>
    <xf numFmtId="0" fontId="20" fillId="0" borderId="0"/>
    <xf numFmtId="0" fontId="22" fillId="0" borderId="0"/>
    <xf numFmtId="9" fontId="30" fillId="0" borderId="0" applyFont="0" applyFill="0" applyBorder="0" applyAlignment="0" applyProtection="0"/>
  </cellStyleXfs>
  <cellXfs count="15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vertical="center"/>
    </xf>
    <xf numFmtId="2" fontId="2" fillId="0" borderId="0" xfId="2" applyNumberFormat="1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4" borderId="2" xfId="0" applyFont="1" applyFill="1" applyBorder="1" applyAlignment="1">
      <alignment vertical="center"/>
    </xf>
    <xf numFmtId="0" fontId="2" fillId="5" borderId="0" xfId="0" applyFont="1" applyFill="1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165" fontId="2" fillId="4" borderId="2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165" fontId="2" fillId="0" borderId="0" xfId="2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2" fontId="1" fillId="0" borderId="0" xfId="2" applyNumberFormat="1" applyFont="1" applyAlignment="1">
      <alignment vertical="center"/>
    </xf>
    <xf numFmtId="165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165" fontId="1" fillId="0" borderId="10" xfId="2" applyNumberFormat="1" applyFont="1" applyBorder="1" applyAlignment="1">
      <alignment horizontal="center" vertical="center"/>
    </xf>
    <xf numFmtId="165" fontId="1" fillId="0" borderId="10" xfId="3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165" fontId="2" fillId="0" borderId="10" xfId="2" applyNumberFormat="1" applyFont="1" applyBorder="1" applyAlignment="1">
      <alignment horizontal="center" vertical="center"/>
    </xf>
    <xf numFmtId="165" fontId="13" fillId="0" borderId="10" xfId="0" applyNumberFormat="1" applyFont="1" applyBorder="1" applyAlignment="1">
      <alignment horizontal="center" vertical="center"/>
    </xf>
    <xf numFmtId="165" fontId="14" fillId="0" borderId="10" xfId="0" applyNumberFormat="1" applyFont="1" applyBorder="1" applyAlignment="1">
      <alignment horizontal="center" vertical="center"/>
    </xf>
    <xf numFmtId="165" fontId="13" fillId="0" borderId="10" xfId="2" applyNumberFormat="1" applyFont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13" fillId="0" borderId="10" xfId="1" applyNumberFormat="1" applyFont="1" applyFill="1" applyBorder="1" applyAlignment="1">
      <alignment horizontal="center" vertical="center"/>
    </xf>
    <xf numFmtId="167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65" fontId="2" fillId="6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2" fontId="2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165" fontId="19" fillId="5" borderId="0" xfId="0" applyNumberFormat="1" applyFont="1" applyFill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8" fontId="21" fillId="7" borderId="0" xfId="4" applyNumberFormat="1" applyFont="1" applyFill="1" applyAlignment="1">
      <alignment horizontal="right" vertical="center" wrapText="1"/>
    </xf>
    <xf numFmtId="169" fontId="2" fillId="0" borderId="0" xfId="0" applyNumberFormat="1" applyFont="1" applyAlignment="1">
      <alignment vertical="center"/>
    </xf>
    <xf numFmtId="170" fontId="2" fillId="0" borderId="0" xfId="0" applyNumberFormat="1" applyFont="1" applyAlignment="1">
      <alignment vertical="center"/>
    </xf>
    <xf numFmtId="2" fontId="2" fillId="4" borderId="2" xfId="2" applyNumberFormat="1" applyFont="1" applyFill="1" applyBorder="1" applyAlignment="1">
      <alignment horizontal="center" vertical="center" wrapText="1"/>
    </xf>
    <xf numFmtId="2" fontId="2" fillId="4" borderId="3" xfId="2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6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2" fontId="2" fillId="4" borderId="2" xfId="2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165" fontId="1" fillId="4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2" fontId="1" fillId="4" borderId="2" xfId="2" applyNumberFormat="1" applyFont="1" applyFill="1" applyBorder="1" applyAlignment="1">
      <alignment horizontal="center" vertical="center" wrapText="1"/>
    </xf>
    <xf numFmtId="2" fontId="1" fillId="4" borderId="3" xfId="2" applyNumberFormat="1" applyFont="1" applyFill="1" applyBorder="1" applyAlignment="1">
      <alignment horizontal="center" vertical="center" wrapText="1"/>
    </xf>
    <xf numFmtId="2" fontId="1" fillId="4" borderId="2" xfId="2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9" fillId="3" borderId="1" xfId="0" applyFont="1" applyFill="1" applyBorder="1" applyAlignment="1">
      <alignment horizontal="right" vertical="center"/>
    </xf>
    <xf numFmtId="0" fontId="1" fillId="0" borderId="0" xfId="5" applyFont="1" applyAlignment="1">
      <alignment vertical="center"/>
    </xf>
    <xf numFmtId="0" fontId="2" fillId="0" borderId="0" xfId="5" applyFont="1" applyAlignment="1">
      <alignment vertical="center"/>
    </xf>
    <xf numFmtId="165" fontId="2" fillId="0" borderId="0" xfId="5" applyNumberFormat="1" applyFont="1" applyAlignment="1">
      <alignment vertical="center"/>
    </xf>
    <xf numFmtId="0" fontId="4" fillId="0" borderId="0" xfId="5" applyFont="1" applyAlignment="1">
      <alignment horizontal="center" vertical="center"/>
    </xf>
    <xf numFmtId="0" fontId="6" fillId="0" borderId="0" xfId="5" applyFont="1" applyAlignment="1">
      <alignment horizontal="center" vertical="top"/>
    </xf>
    <xf numFmtId="0" fontId="8" fillId="2" borderId="0" xfId="5" applyFont="1" applyFill="1" applyAlignment="1">
      <alignment horizontal="center" vertical="center"/>
    </xf>
    <xf numFmtId="0" fontId="25" fillId="3" borderId="1" xfId="5" applyFont="1" applyFill="1" applyBorder="1" applyAlignment="1">
      <alignment horizontal="right" vertical="center"/>
    </xf>
    <xf numFmtId="0" fontId="1" fillId="4" borderId="2" xfId="5" applyFont="1" applyFill="1" applyBorder="1" applyAlignment="1">
      <alignment horizontal="center" vertical="center" wrapText="1"/>
    </xf>
    <xf numFmtId="0" fontId="1" fillId="4" borderId="2" xfId="5" applyFont="1" applyFill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26" fillId="0" borderId="0" xfId="5" applyFont="1" applyAlignment="1">
      <alignment horizontal="center" vertical="center"/>
    </xf>
    <xf numFmtId="0" fontId="26" fillId="5" borderId="0" xfId="5" applyFont="1" applyFill="1" applyAlignment="1">
      <alignment horizontal="center" vertical="center"/>
    </xf>
    <xf numFmtId="0" fontId="1" fillId="4" borderId="6" xfId="5" applyFont="1" applyFill="1" applyBorder="1" applyAlignment="1">
      <alignment horizontal="center" vertical="center" wrapText="1"/>
    </xf>
    <xf numFmtId="0" fontId="1" fillId="4" borderId="7" xfId="5" applyFont="1" applyFill="1" applyBorder="1" applyAlignment="1">
      <alignment horizontal="center" vertical="center" wrapText="1"/>
    </xf>
    <xf numFmtId="0" fontId="1" fillId="4" borderId="6" xfId="5" applyFont="1" applyFill="1" applyBorder="1" applyAlignment="1">
      <alignment horizontal="center" vertical="center"/>
    </xf>
    <xf numFmtId="0" fontId="1" fillId="4" borderId="7" xfId="5" applyFont="1" applyFill="1" applyBorder="1" applyAlignment="1">
      <alignment horizontal="center" vertical="center"/>
    </xf>
    <xf numFmtId="2" fontId="1" fillId="4" borderId="6" xfId="2" applyNumberFormat="1" applyFont="1" applyFill="1" applyBorder="1" applyAlignment="1">
      <alignment horizontal="center" vertical="center" wrapText="1"/>
    </xf>
    <xf numFmtId="2" fontId="1" fillId="4" borderId="7" xfId="2" applyNumberFormat="1" applyFont="1" applyFill="1" applyBorder="1" applyAlignment="1">
      <alignment horizontal="center" vertical="center" wrapText="1"/>
    </xf>
    <xf numFmtId="2" fontId="1" fillId="4" borderId="6" xfId="2" applyNumberFormat="1" applyFont="1" applyFill="1" applyBorder="1" applyAlignment="1">
      <alignment horizontal="center" vertical="center"/>
    </xf>
    <xf numFmtId="2" fontId="1" fillId="4" borderId="7" xfId="2" applyNumberFormat="1" applyFont="1" applyFill="1" applyBorder="1" applyAlignment="1">
      <alignment horizontal="center" vertical="center"/>
    </xf>
    <xf numFmtId="0" fontId="1" fillId="5" borderId="0" xfId="5" applyFont="1" applyFill="1" applyAlignment="1">
      <alignment horizontal="center" vertical="center"/>
    </xf>
    <xf numFmtId="0" fontId="1" fillId="4" borderId="8" xfId="5" applyFont="1" applyFill="1" applyBorder="1" applyAlignment="1">
      <alignment horizontal="center" vertical="center" wrapText="1"/>
    </xf>
    <xf numFmtId="0" fontId="1" fillId="4" borderId="9" xfId="5" applyFont="1" applyFill="1" applyBorder="1" applyAlignment="1">
      <alignment horizontal="center" vertical="center" wrapText="1"/>
    </xf>
    <xf numFmtId="0" fontId="1" fillId="4" borderId="8" xfId="5" applyFont="1" applyFill="1" applyBorder="1" applyAlignment="1">
      <alignment horizontal="center" vertical="center"/>
    </xf>
    <xf numFmtId="0" fontId="1" fillId="4" borderId="9" xfId="5" applyFont="1" applyFill="1" applyBorder="1" applyAlignment="1">
      <alignment horizontal="center" vertical="center"/>
    </xf>
    <xf numFmtId="2" fontId="1" fillId="4" borderId="8" xfId="2" applyNumberFormat="1" applyFont="1" applyFill="1" applyBorder="1" applyAlignment="1">
      <alignment horizontal="center" vertical="center" wrapText="1"/>
    </xf>
    <xf numFmtId="2" fontId="1" fillId="4" borderId="9" xfId="2" applyNumberFormat="1" applyFont="1" applyFill="1" applyBorder="1" applyAlignment="1">
      <alignment horizontal="center" vertical="center" wrapText="1"/>
    </xf>
    <xf numFmtId="2" fontId="1" fillId="4" borderId="8" xfId="2" applyNumberFormat="1" applyFont="1" applyFill="1" applyBorder="1" applyAlignment="1">
      <alignment horizontal="center" vertical="center"/>
    </xf>
    <xf numFmtId="2" fontId="1" fillId="4" borderId="9" xfId="2" applyNumberFormat="1" applyFont="1" applyFill="1" applyBorder="1" applyAlignment="1">
      <alignment horizontal="center" vertical="center"/>
    </xf>
    <xf numFmtId="0" fontId="1" fillId="4" borderId="2" xfId="5" applyFont="1" applyFill="1" applyBorder="1" applyAlignment="1">
      <alignment horizontal="center" vertical="center" wrapText="1"/>
    </xf>
    <xf numFmtId="0" fontId="1" fillId="0" borderId="0" xfId="5" applyFont="1" applyAlignment="1">
      <alignment horizontal="center" vertical="center" wrapText="1"/>
    </xf>
    <xf numFmtId="0" fontId="1" fillId="5" borderId="0" xfId="5" applyFont="1" applyFill="1" applyAlignment="1">
      <alignment horizontal="center" vertical="center" wrapText="1"/>
    </xf>
    <xf numFmtId="0" fontId="27" fillId="4" borderId="2" xfId="5" applyFont="1" applyFill="1" applyBorder="1" applyAlignment="1">
      <alignment horizontal="center" vertical="center" wrapText="1"/>
    </xf>
    <xf numFmtId="0" fontId="28" fillId="4" borderId="2" xfId="5" applyFont="1" applyFill="1" applyBorder="1" applyAlignment="1">
      <alignment horizontal="center" vertical="center" wrapText="1"/>
    </xf>
    <xf numFmtId="0" fontId="27" fillId="4" borderId="13" xfId="5" applyFont="1" applyFill="1" applyBorder="1" applyAlignment="1">
      <alignment horizontal="center" vertical="center" wrapText="1"/>
    </xf>
    <xf numFmtId="0" fontId="29" fillId="0" borderId="0" xfId="5" applyFont="1" applyAlignment="1">
      <alignment horizontal="center" vertical="center" wrapText="1"/>
    </xf>
    <xf numFmtId="0" fontId="29" fillId="5" borderId="0" xfId="5" applyFont="1" applyFill="1" applyAlignment="1">
      <alignment horizontal="center" vertical="center" wrapText="1"/>
    </xf>
    <xf numFmtId="0" fontId="27" fillId="4" borderId="10" xfId="5" applyFont="1" applyFill="1" applyBorder="1" applyAlignment="1">
      <alignment horizontal="center" vertical="center" wrapText="1"/>
    </xf>
    <xf numFmtId="0" fontId="28" fillId="4" borderId="2" xfId="5" applyFont="1" applyFill="1" applyBorder="1" applyAlignment="1">
      <alignment horizontal="center" vertical="center" wrapText="1"/>
    </xf>
    <xf numFmtId="0" fontId="28" fillId="4" borderId="3" xfId="5" applyFont="1" applyFill="1" applyBorder="1" applyAlignment="1">
      <alignment horizontal="center" vertical="center" wrapText="1"/>
    </xf>
    <xf numFmtId="49" fontId="1" fillId="0" borderId="10" xfId="5" applyNumberFormat="1" applyFont="1" applyBorder="1" applyAlignment="1">
      <alignment horizontal="center" vertical="center"/>
    </xf>
    <xf numFmtId="165" fontId="1" fillId="0" borderId="10" xfId="5" applyNumberFormat="1" applyFont="1" applyBorder="1" applyAlignment="1">
      <alignment horizontal="center" vertical="center"/>
    </xf>
    <xf numFmtId="165" fontId="1" fillId="0" borderId="10" xfId="6" applyNumberFormat="1" applyFont="1" applyFill="1" applyBorder="1" applyAlignment="1">
      <alignment horizontal="center" vertical="center"/>
    </xf>
    <xf numFmtId="165" fontId="2" fillId="0" borderId="10" xfId="5" applyNumberFormat="1" applyFont="1" applyBorder="1" applyAlignment="1">
      <alignment horizontal="center" vertical="center"/>
    </xf>
    <xf numFmtId="0" fontId="1" fillId="0" borderId="10" xfId="5" applyFont="1" applyBorder="1" applyAlignment="1">
      <alignment horizontal="center" vertical="center"/>
    </xf>
    <xf numFmtId="0" fontId="2" fillId="0" borderId="10" xfId="5" applyFont="1" applyBorder="1" applyAlignment="1">
      <alignment vertical="center"/>
    </xf>
    <xf numFmtId="165" fontId="2" fillId="0" borderId="10" xfId="5" applyNumberFormat="1" applyFont="1" applyBorder="1" applyAlignment="1">
      <alignment vertical="center"/>
    </xf>
    <xf numFmtId="2" fontId="2" fillId="0" borderId="10" xfId="2" applyNumberFormat="1" applyFont="1" applyBorder="1" applyAlignment="1">
      <alignment vertical="center"/>
    </xf>
    <xf numFmtId="49" fontId="1" fillId="0" borderId="11" xfId="5" applyNumberFormat="1" applyFont="1" applyBorder="1" applyAlignment="1">
      <alignment horizontal="center" vertical="center"/>
    </xf>
    <xf numFmtId="165" fontId="1" fillId="0" borderId="11" xfId="5" applyNumberFormat="1" applyFont="1" applyBorder="1" applyAlignment="1">
      <alignment horizontal="center" vertical="center"/>
    </xf>
    <xf numFmtId="165" fontId="1" fillId="0" borderId="11" xfId="6" applyNumberFormat="1" applyFont="1" applyFill="1" applyBorder="1" applyAlignment="1">
      <alignment horizontal="center" vertical="center"/>
    </xf>
    <xf numFmtId="165" fontId="2" fillId="0" borderId="11" xfId="5" applyNumberFormat="1" applyFont="1" applyBorder="1" applyAlignment="1">
      <alignment horizontal="center" vertical="center"/>
    </xf>
    <xf numFmtId="0" fontId="31" fillId="6" borderId="0" xfId="5" applyFont="1" applyFill="1" applyAlignment="1">
      <alignment horizontal="left" vertical="center"/>
    </xf>
    <xf numFmtId="0" fontId="32" fillId="0" borderId="0" xfId="5" applyFont="1" applyAlignment="1">
      <alignment vertical="center"/>
    </xf>
    <xf numFmtId="0" fontId="31" fillId="0" borderId="0" xfId="5" applyFont="1" applyAlignment="1">
      <alignment horizontal="left" vertical="center"/>
    </xf>
    <xf numFmtId="2" fontId="2" fillId="0" borderId="0" xfId="5" applyNumberFormat="1" applyFont="1" applyAlignment="1">
      <alignment vertical="center"/>
    </xf>
    <xf numFmtId="1" fontId="1" fillId="0" borderId="0" xfId="5" applyNumberFormat="1" applyFont="1" applyAlignment="1">
      <alignment vertical="center"/>
    </xf>
    <xf numFmtId="169" fontId="2" fillId="0" borderId="0" xfId="5" applyNumberFormat="1" applyFont="1" applyAlignment="1">
      <alignment vertical="center"/>
    </xf>
    <xf numFmtId="165" fontId="1" fillId="0" borderId="0" xfId="5" applyNumberFormat="1" applyFont="1" applyAlignment="1">
      <alignment vertical="center"/>
    </xf>
    <xf numFmtId="171" fontId="2" fillId="0" borderId="0" xfId="5" applyNumberFormat="1" applyFont="1" applyAlignment="1">
      <alignment vertical="center"/>
    </xf>
    <xf numFmtId="0" fontId="2" fillId="5" borderId="0" xfId="5" applyFont="1" applyFill="1" applyAlignment="1">
      <alignment vertical="center"/>
    </xf>
    <xf numFmtId="170" fontId="2" fillId="0" borderId="0" xfId="5" applyNumberFormat="1" applyFont="1" applyAlignment="1">
      <alignment vertical="center"/>
    </xf>
    <xf numFmtId="172" fontId="2" fillId="0" borderId="0" xfId="5" applyNumberFormat="1" applyFont="1" applyAlignment="1">
      <alignment vertical="center"/>
    </xf>
    <xf numFmtId="173" fontId="2" fillId="0" borderId="0" xfId="5" applyNumberFormat="1" applyFont="1" applyAlignment="1">
      <alignment vertical="center"/>
    </xf>
    <xf numFmtId="174" fontId="2" fillId="0" borderId="0" xfId="5" applyNumberFormat="1" applyFont="1" applyAlignment="1">
      <alignment vertical="center"/>
    </xf>
    <xf numFmtId="175" fontId="2" fillId="0" borderId="0" xfId="5" applyNumberFormat="1" applyFont="1" applyAlignment="1">
      <alignment vertical="center"/>
    </xf>
  </cellXfs>
  <cellStyles count="7">
    <cellStyle name="=C:\WINNT35\SYSTEM32\COMMAND.COM" xfId="3" xr:uid="{C3B00B06-4491-4497-ACA8-9B791FB86AE7}"/>
    <cellStyle name="Comma" xfId="1" builtinId="3"/>
    <cellStyle name="Normal" xfId="0" builtinId="0"/>
    <cellStyle name="Normal 13" xfId="4" xr:uid="{76E94A0D-3243-4439-B83C-8AA7491812FF}"/>
    <cellStyle name="Normal 2 3" xfId="5" xr:uid="{F4F5B639-E555-4BE4-B1ED-C4D93A46BE87}"/>
    <cellStyle name="Normal 3" xfId="2" xr:uid="{BD40D4A0-93D2-4932-B43F-24B7DFEF1C2D}"/>
    <cellStyle name="Percent 6 2" xfId="6" xr:uid="{BA7F7591-086B-46BC-8990-D358CD5F82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kredi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SAlizade/LOCALS~1/Temp/notes0F6B36/1113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AD_A~1/AppData/Local/Temp/notesBA9FE3/Users/KAMIL_~1/AppData/Local/Temp/notes57FF2C/DOCUME~1/FAbbasov/LOCALS~1/Temp/notesFCBCEE/Documents%20and%20Settings/FAbbasov/Desktop/new%20bulletin/eman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edit"/>
      <sheetName val="ST-2SD.ST"/>
    </sheetNames>
    <sheetDataSet>
      <sheetData sheetId="0" refreshError="1"/>
      <sheetData sheetId="1" refreshError="1">
        <row r="17">
          <cell r="A17">
            <v>2</v>
          </cell>
        </row>
        <row r="19">
          <cell r="A19">
            <v>4</v>
          </cell>
        </row>
        <row r="23">
          <cell r="A23">
            <v>8</v>
          </cell>
        </row>
        <row r="24">
          <cell r="A24">
            <v>9</v>
          </cell>
        </row>
        <row r="28">
          <cell r="A28">
            <v>13</v>
          </cell>
        </row>
        <row r="29">
          <cell r="A29">
            <v>14</v>
          </cell>
        </row>
        <row r="32">
          <cell r="A32">
            <v>17</v>
          </cell>
        </row>
        <row r="33">
          <cell r="A33">
            <v>18</v>
          </cell>
        </row>
        <row r="39">
          <cell r="A39">
            <v>24</v>
          </cell>
        </row>
        <row r="41">
          <cell r="A41">
            <v>26</v>
          </cell>
        </row>
        <row r="42">
          <cell r="A42">
            <v>27</v>
          </cell>
        </row>
        <row r="43">
          <cell r="A43">
            <v>28</v>
          </cell>
        </row>
        <row r="44">
          <cell r="A44">
            <v>29</v>
          </cell>
        </row>
        <row r="47">
          <cell r="A47">
            <v>32</v>
          </cell>
        </row>
        <row r="49">
          <cell r="A49">
            <v>34</v>
          </cell>
        </row>
        <row r="50">
          <cell r="A50">
            <v>35</v>
          </cell>
        </row>
        <row r="53">
          <cell r="A53">
            <v>38</v>
          </cell>
        </row>
        <row r="54">
          <cell r="A54">
            <v>39</v>
          </cell>
        </row>
        <row r="55">
          <cell r="A55">
            <v>40</v>
          </cell>
        </row>
        <row r="56">
          <cell r="A56">
            <v>41</v>
          </cell>
        </row>
        <row r="61">
          <cell r="A61">
            <v>46</v>
          </cell>
        </row>
        <row r="64">
          <cell r="A64">
            <v>49</v>
          </cell>
        </row>
        <row r="67">
          <cell r="A67">
            <v>52</v>
          </cell>
        </row>
        <row r="68">
          <cell r="A68">
            <v>53</v>
          </cell>
        </row>
        <row r="69">
          <cell r="A69">
            <v>54</v>
          </cell>
        </row>
        <row r="71">
          <cell r="A71">
            <v>56</v>
          </cell>
        </row>
        <row r="73">
          <cell r="A73">
            <v>58</v>
          </cell>
        </row>
        <row r="74">
          <cell r="A74">
            <v>59</v>
          </cell>
        </row>
        <row r="80">
          <cell r="A80">
            <v>65</v>
          </cell>
        </row>
        <row r="81">
          <cell r="A81">
            <v>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2"/>
      <sheetName val="1.4"/>
      <sheetName val="2.2"/>
      <sheetName val="2.10"/>
      <sheetName val="2.11"/>
      <sheetName val="3.1"/>
      <sheetName val="3.3"/>
      <sheetName val="3.5"/>
      <sheetName val="3.6"/>
      <sheetName val="3.6 (2)"/>
      <sheetName val="3.7"/>
      <sheetName val="4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2">
          <cell r="A2" t="str">
            <v>Cədvəl 3.6. Xarici valyuta bazarı</v>
          </cell>
        </row>
        <row r="15">
          <cell r="A15" t="str">
            <v>Xaric valyutanın alışı</v>
          </cell>
        </row>
        <row r="16">
          <cell r="A16" t="str">
            <v xml:space="preserve">          o cümlədən:</v>
          </cell>
        </row>
        <row r="17">
          <cell r="A17" t="str">
            <v>- BEST</v>
          </cell>
        </row>
        <row r="18">
          <cell r="A18" t="str">
            <v>- ABVB</v>
          </cell>
        </row>
        <row r="19">
          <cell r="A19" t="str">
            <v>- BDMƏ</v>
          </cell>
        </row>
        <row r="20">
          <cell r="A20" t="str">
            <v xml:space="preserve">        Məqsədlər üzrə:</v>
          </cell>
        </row>
        <row r="21">
          <cell r="A21" t="str">
            <v xml:space="preserve"> - Valyuta movqeyinin
    tənzimlənməsi</v>
          </cell>
        </row>
        <row r="22">
          <cell r="A22" t="str">
            <v xml:space="preserve"> - Kreditlərin ödənilməsi</v>
          </cell>
        </row>
        <row r="23">
          <cell r="A23" t="str">
            <v xml:space="preserve"> - Digər banklara depozitlərin
   qaytarılması</v>
          </cell>
        </row>
        <row r="24">
          <cell r="A24" t="str">
            <v xml:space="preserve"> - Mübadilə məntəqələri üçün</v>
          </cell>
        </row>
        <row r="25">
          <cell r="A25" t="str">
            <v xml:space="preserve"> - Müştərilərin tapşırığı ilə</v>
          </cell>
        </row>
        <row r="26">
          <cell r="A26" t="str">
            <v xml:space="preserve">          o cümlədən:</v>
          </cell>
        </row>
        <row r="27">
          <cell r="A27" t="str">
            <v xml:space="preserve">            - idxal kontrakları üçün</v>
          </cell>
        </row>
        <row r="32">
          <cell r="A32" t="str">
            <v>Xaric valyutanın satışı</v>
          </cell>
        </row>
        <row r="33">
          <cell r="A33" t="str">
            <v xml:space="preserve">          o cümlədən:</v>
          </cell>
        </row>
        <row r="34">
          <cell r="A34" t="str">
            <v>- BEST</v>
          </cell>
        </row>
        <row r="35">
          <cell r="A35" t="str">
            <v>- ABVB</v>
          </cell>
        </row>
        <row r="36">
          <cell r="A36" t="str">
            <v>- BDMƏ</v>
          </cell>
        </row>
        <row r="37">
          <cell r="A37" t="str">
            <v xml:space="preserve">        Məqsədlər üzrə:</v>
          </cell>
        </row>
        <row r="38">
          <cell r="A38" t="str">
            <v xml:space="preserve"> - Valyuta movqeyinin
    tənzimlənməsi</v>
          </cell>
        </row>
        <row r="39">
          <cell r="A39" t="str">
            <v xml:space="preserve"> - Kreditlərin ödənilməsi</v>
          </cell>
        </row>
        <row r="40">
          <cell r="A40" t="str">
            <v xml:space="preserve"> - Digər banklara depozitlərin
   qaytarılması</v>
          </cell>
        </row>
        <row r="41">
          <cell r="A41" t="str">
            <v xml:space="preserve"> - Mübadilə məntəqələri üçün</v>
          </cell>
        </row>
        <row r="42">
          <cell r="A42" t="str">
            <v xml:space="preserve"> - Müştərilərin tapşırığı ilə</v>
          </cell>
        </row>
        <row r="43">
          <cell r="A43" t="str">
            <v xml:space="preserve"> - Sair məqsədlər</v>
          </cell>
        </row>
      </sheetData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net"/>
      <sheetName val="ST-2SD.ST"/>
    </sheetNames>
    <sheetDataSet>
      <sheetData sheetId="0" refreshError="1"/>
      <sheetData sheetId="1">
        <row r="23">
          <cell r="A23">
            <v>8</v>
          </cell>
        </row>
        <row r="42">
          <cell r="A42">
            <v>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61A75-E8EC-4523-BA3E-4028EFAFCC92}">
  <sheetPr codeName="Sheet16">
    <tabColor rgb="FF92D050"/>
  </sheetPr>
  <dimension ref="A1:CD286"/>
  <sheetViews>
    <sheetView showGridLines="0" tabSelected="1" view="pageBreakPreview" zoomScale="55" zoomScaleSheetLayoutView="55" workbookViewId="0">
      <pane xSplit="1" ySplit="19" topLeftCell="B252" activePane="bottomRight" state="frozen"/>
      <selection activeCell="Q251" sqref="Q251"/>
      <selection pane="topRight" activeCell="Q251" sqref="Q251"/>
      <selection pane="bottomLeft" activeCell="Q251" sqref="Q251"/>
      <selection pane="bottomRight" activeCell="N284" sqref="N284"/>
    </sheetView>
  </sheetViews>
  <sheetFormatPr defaultColWidth="8.88671875" defaultRowHeight="15.6" x14ac:dyDescent="0.25"/>
  <cols>
    <col min="1" max="1" width="7.6640625" style="1" customWidth="1"/>
    <col min="2" max="2" width="13" style="2" bestFit="1" customWidth="1"/>
    <col min="3" max="3" width="10.6640625" style="2" bestFit="1" customWidth="1"/>
    <col min="4" max="4" width="14.33203125" style="2" bestFit="1" customWidth="1"/>
    <col min="5" max="5" width="12.109375" style="2" customWidth="1"/>
    <col min="6" max="6" width="15.5546875" style="2" customWidth="1"/>
    <col min="7" max="7" width="10.5546875" style="2" bestFit="1" customWidth="1"/>
    <col min="8" max="8" width="14.33203125" style="2" customWidth="1"/>
    <col min="9" max="9" width="10.5546875" style="2" bestFit="1" customWidth="1"/>
    <col min="10" max="10" width="14.33203125" style="2" customWidth="1"/>
    <col min="11" max="11" width="11.6640625" style="2" bestFit="1" customWidth="1"/>
    <col min="12" max="12" width="14.33203125" style="2" customWidth="1"/>
    <col min="13" max="13" width="11.6640625" style="2" bestFit="1" customWidth="1"/>
    <col min="14" max="14" width="14.33203125" style="2" customWidth="1"/>
    <col min="15" max="15" width="11.5546875" style="2" customWidth="1"/>
    <col min="16" max="16" width="14.33203125" style="2" customWidth="1"/>
    <col min="17" max="17" width="11.6640625" style="2" bestFit="1" customWidth="1"/>
    <col min="18" max="18" width="14.33203125" style="2" customWidth="1"/>
    <col min="19" max="19" width="12.33203125" style="2" customWidth="1"/>
    <col min="20" max="20" width="14.33203125" style="2" customWidth="1"/>
    <col min="21" max="21" width="8.88671875" style="2"/>
    <col min="22" max="22" width="14.33203125" style="2" customWidth="1"/>
    <col min="23" max="23" width="8.88671875" style="3"/>
    <col min="24" max="24" width="14.33203125" style="2" customWidth="1"/>
    <col min="25" max="25" width="13.33203125" style="2" customWidth="1"/>
    <col min="26" max="26" width="14.33203125" style="2" customWidth="1"/>
    <col min="27" max="27" width="8.88671875" style="4"/>
    <col min="28" max="28" width="14.33203125" style="4" customWidth="1"/>
    <col min="29" max="29" width="8.5546875" style="4" customWidth="1"/>
    <col min="30" max="30" width="14.33203125" style="4" customWidth="1"/>
    <col min="31" max="31" width="8.88671875" style="4"/>
    <col min="32" max="32" width="14.33203125" style="4" customWidth="1"/>
    <col min="33" max="33" width="9.33203125" style="4" bestFit="1" customWidth="1"/>
    <col min="34" max="34" width="14.33203125" style="4" customWidth="1"/>
    <col min="35" max="35" width="12.44140625" style="2" customWidth="1"/>
    <col min="36" max="79" width="8.88671875" style="2"/>
    <col min="80" max="80" width="0" style="2" hidden="1" customWidth="1"/>
    <col min="81" max="16384" width="8.88671875" style="2"/>
  </cols>
  <sheetData>
    <row r="1" spans="1:82" ht="21" customHeight="1" x14ac:dyDescent="0.25"/>
    <row r="2" spans="1:82" ht="38.25" customHeight="1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</row>
    <row r="3" spans="1:82" ht="38.25" customHeight="1" x14ac:dyDescent="0.25">
      <c r="A3" s="82" t="s">
        <v>1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</row>
    <row r="4" spans="1:82" ht="15.7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82" ht="15.75" customHeight="1" x14ac:dyDescent="0.25">
      <c r="A5" s="83" t="s">
        <v>2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</row>
    <row r="6" spans="1:82" s="1" customFormat="1" ht="19.5" customHeight="1" x14ac:dyDescent="0.25">
      <c r="A6" s="67" t="s">
        <v>3</v>
      </c>
      <c r="B6" s="69" t="s">
        <v>4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1"/>
      <c r="AI6" s="67" t="s">
        <v>5</v>
      </c>
      <c r="CC6" s="6"/>
      <c r="CD6" s="7"/>
    </row>
    <row r="7" spans="1:82" s="1" customFormat="1" ht="13.95" customHeight="1" x14ac:dyDescent="0.25">
      <c r="A7" s="67"/>
      <c r="B7" s="73" t="s">
        <v>6</v>
      </c>
      <c r="C7" s="73" t="s">
        <v>7</v>
      </c>
      <c r="D7" s="73"/>
      <c r="E7" s="67" t="s">
        <v>8</v>
      </c>
      <c r="F7" s="67"/>
      <c r="G7" s="67" t="s">
        <v>9</v>
      </c>
      <c r="H7" s="67"/>
      <c r="I7" s="67" t="s">
        <v>10</v>
      </c>
      <c r="J7" s="67"/>
      <c r="K7" s="77" t="s">
        <v>11</v>
      </c>
      <c r="L7" s="78"/>
      <c r="M7" s="67" t="s">
        <v>12</v>
      </c>
      <c r="N7" s="67"/>
      <c r="O7" s="77" t="s">
        <v>13</v>
      </c>
      <c r="P7" s="78"/>
      <c r="Q7" s="73" t="s">
        <v>14</v>
      </c>
      <c r="R7" s="73"/>
      <c r="S7" s="77" t="s">
        <v>15</v>
      </c>
      <c r="T7" s="78"/>
      <c r="U7" s="67" t="s">
        <v>16</v>
      </c>
      <c r="V7" s="67"/>
      <c r="W7" s="67" t="s">
        <v>17</v>
      </c>
      <c r="X7" s="67"/>
      <c r="Y7" s="73" t="s">
        <v>18</v>
      </c>
      <c r="Z7" s="73"/>
      <c r="AA7" s="76" t="s">
        <v>19</v>
      </c>
      <c r="AB7" s="76"/>
      <c r="AC7" s="76" t="s">
        <v>20</v>
      </c>
      <c r="AD7" s="76"/>
      <c r="AE7" s="74" t="s">
        <v>21</v>
      </c>
      <c r="AF7" s="74"/>
      <c r="AG7" s="74" t="s">
        <v>22</v>
      </c>
      <c r="AH7" s="75"/>
      <c r="AI7" s="67"/>
      <c r="CD7" s="8"/>
    </row>
    <row r="8" spans="1:82" s="1" customFormat="1" ht="114" customHeight="1" x14ac:dyDescent="0.25">
      <c r="A8" s="67"/>
      <c r="B8" s="73"/>
      <c r="C8" s="73"/>
      <c r="D8" s="73"/>
      <c r="E8" s="67"/>
      <c r="F8" s="67"/>
      <c r="G8" s="67"/>
      <c r="H8" s="67"/>
      <c r="I8" s="67"/>
      <c r="J8" s="67"/>
      <c r="K8" s="79"/>
      <c r="L8" s="80"/>
      <c r="M8" s="67"/>
      <c r="N8" s="67"/>
      <c r="O8" s="79"/>
      <c r="P8" s="80"/>
      <c r="Q8" s="73"/>
      <c r="R8" s="73"/>
      <c r="S8" s="79"/>
      <c r="T8" s="80"/>
      <c r="U8" s="67"/>
      <c r="V8" s="67"/>
      <c r="W8" s="67"/>
      <c r="X8" s="67"/>
      <c r="Y8" s="73"/>
      <c r="Z8" s="73"/>
      <c r="AA8" s="76"/>
      <c r="AB8" s="76"/>
      <c r="AC8" s="76"/>
      <c r="AD8" s="76"/>
      <c r="AE8" s="74"/>
      <c r="AF8" s="74"/>
      <c r="AG8" s="74"/>
      <c r="AH8" s="75"/>
      <c r="AI8" s="67"/>
      <c r="CD8" s="8"/>
    </row>
    <row r="9" spans="1:82" s="1" customFormat="1" ht="15.6" customHeight="1" x14ac:dyDescent="0.25">
      <c r="A9" s="67"/>
      <c r="B9" s="73"/>
      <c r="C9" s="67" t="s">
        <v>23</v>
      </c>
      <c r="D9" s="67" t="s">
        <v>24</v>
      </c>
      <c r="E9" s="67" t="s">
        <v>25</v>
      </c>
      <c r="F9" s="67" t="s">
        <v>24</v>
      </c>
      <c r="G9" s="73" t="s">
        <v>25</v>
      </c>
      <c r="H9" s="67" t="s">
        <v>24</v>
      </c>
      <c r="I9" s="73" t="s">
        <v>25</v>
      </c>
      <c r="J9" s="67" t="s">
        <v>24</v>
      </c>
      <c r="K9" s="67" t="s">
        <v>25</v>
      </c>
      <c r="L9" s="67" t="s">
        <v>24</v>
      </c>
      <c r="M9" s="73" t="s">
        <v>25</v>
      </c>
      <c r="N9" s="67" t="s">
        <v>24</v>
      </c>
      <c r="O9" s="67" t="s">
        <v>25</v>
      </c>
      <c r="P9" s="67" t="s">
        <v>24</v>
      </c>
      <c r="Q9" s="67" t="s">
        <v>25</v>
      </c>
      <c r="R9" s="67" t="s">
        <v>24</v>
      </c>
      <c r="S9" s="67" t="s">
        <v>25</v>
      </c>
      <c r="T9" s="67" t="s">
        <v>24</v>
      </c>
      <c r="U9" s="67" t="s">
        <v>25</v>
      </c>
      <c r="V9" s="67" t="s">
        <v>24</v>
      </c>
      <c r="W9" s="72" t="s">
        <v>25</v>
      </c>
      <c r="X9" s="67" t="s">
        <v>24</v>
      </c>
      <c r="Y9" s="67" t="s">
        <v>25</v>
      </c>
      <c r="Z9" s="67" t="s">
        <v>24</v>
      </c>
      <c r="AA9" s="67" t="s">
        <v>25</v>
      </c>
      <c r="AB9" s="67" t="s">
        <v>24</v>
      </c>
      <c r="AC9" s="67" t="s">
        <v>25</v>
      </c>
      <c r="AD9" s="67" t="s">
        <v>24</v>
      </c>
      <c r="AE9" s="67" t="s">
        <v>25</v>
      </c>
      <c r="AF9" s="67" t="s">
        <v>24</v>
      </c>
      <c r="AG9" s="67" t="s">
        <v>25</v>
      </c>
      <c r="AH9" s="68" t="s">
        <v>24</v>
      </c>
      <c r="AI9" s="67"/>
      <c r="CD9" s="8"/>
    </row>
    <row r="10" spans="1:82" s="1" customFormat="1" ht="35.25" customHeight="1" x14ac:dyDescent="0.25">
      <c r="A10" s="67"/>
      <c r="B10" s="73"/>
      <c r="C10" s="67"/>
      <c r="D10" s="67"/>
      <c r="E10" s="67"/>
      <c r="F10" s="67"/>
      <c r="G10" s="73"/>
      <c r="H10" s="67"/>
      <c r="I10" s="73"/>
      <c r="J10" s="67"/>
      <c r="K10" s="67"/>
      <c r="L10" s="67"/>
      <c r="M10" s="73"/>
      <c r="N10" s="67"/>
      <c r="O10" s="67"/>
      <c r="P10" s="67"/>
      <c r="Q10" s="67"/>
      <c r="R10" s="67"/>
      <c r="S10" s="67"/>
      <c r="T10" s="67"/>
      <c r="U10" s="67"/>
      <c r="V10" s="67"/>
      <c r="W10" s="72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8"/>
      <c r="AI10" s="67"/>
      <c r="CD10" s="8"/>
    </row>
    <row r="11" spans="1:82" x14ac:dyDescent="0.25">
      <c r="A11" s="56" t="s">
        <v>26</v>
      </c>
      <c r="B11" s="69" t="s">
        <v>27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1"/>
      <c r="AI11" s="9"/>
      <c r="CD11" s="10"/>
    </row>
    <row r="12" spans="1:82" ht="62.4" customHeight="1" x14ac:dyDescent="0.25">
      <c r="A12" s="56"/>
      <c r="B12" s="66" t="s">
        <v>28</v>
      </c>
      <c r="C12" s="66" t="s">
        <v>29</v>
      </c>
      <c r="D12" s="66"/>
      <c r="E12" s="66" t="s">
        <v>30</v>
      </c>
      <c r="F12" s="66"/>
      <c r="G12" s="56" t="s">
        <v>31</v>
      </c>
      <c r="H12" s="56"/>
      <c r="I12" s="56" t="s">
        <v>32</v>
      </c>
      <c r="J12" s="56"/>
      <c r="K12" s="56" t="s">
        <v>33</v>
      </c>
      <c r="L12" s="56"/>
      <c r="M12" s="62" t="s">
        <v>34</v>
      </c>
      <c r="N12" s="63"/>
      <c r="O12" s="56" t="s">
        <v>35</v>
      </c>
      <c r="P12" s="56"/>
      <c r="Q12" s="66" t="s">
        <v>36</v>
      </c>
      <c r="R12" s="66"/>
      <c r="S12" s="56" t="s">
        <v>37</v>
      </c>
      <c r="T12" s="56"/>
      <c r="U12" s="56" t="s">
        <v>38</v>
      </c>
      <c r="V12" s="56"/>
      <c r="W12" s="56" t="s">
        <v>39</v>
      </c>
      <c r="X12" s="56"/>
      <c r="Y12" s="56" t="s">
        <v>40</v>
      </c>
      <c r="Z12" s="56"/>
      <c r="AA12" s="61" t="s">
        <v>41</v>
      </c>
      <c r="AB12" s="61"/>
      <c r="AC12" s="61" t="s">
        <v>42</v>
      </c>
      <c r="AD12" s="61"/>
      <c r="AE12" s="54" t="s">
        <v>43</v>
      </c>
      <c r="AF12" s="54"/>
      <c r="AG12" s="54" t="s">
        <v>22</v>
      </c>
      <c r="AH12" s="55"/>
      <c r="AI12" s="56" t="s">
        <v>44</v>
      </c>
      <c r="CD12" s="10"/>
    </row>
    <row r="13" spans="1:82" ht="18.75" customHeight="1" x14ac:dyDescent="0.25">
      <c r="A13" s="56"/>
      <c r="B13" s="66"/>
      <c r="C13" s="66"/>
      <c r="D13" s="66"/>
      <c r="E13" s="66"/>
      <c r="F13" s="66"/>
      <c r="G13" s="56"/>
      <c r="H13" s="56"/>
      <c r="I13" s="56"/>
      <c r="J13" s="56"/>
      <c r="K13" s="56"/>
      <c r="L13" s="56"/>
      <c r="M13" s="64"/>
      <c r="N13" s="65"/>
      <c r="O13" s="56"/>
      <c r="P13" s="56"/>
      <c r="Q13" s="66"/>
      <c r="R13" s="66"/>
      <c r="S13" s="56"/>
      <c r="T13" s="56"/>
      <c r="U13" s="56"/>
      <c r="V13" s="56"/>
      <c r="W13" s="56"/>
      <c r="X13" s="56"/>
      <c r="Y13" s="56"/>
      <c r="Z13" s="56"/>
      <c r="AA13" s="61"/>
      <c r="AB13" s="61"/>
      <c r="AC13" s="61"/>
      <c r="AD13" s="61"/>
      <c r="AE13" s="54"/>
      <c r="AF13" s="54"/>
      <c r="AG13" s="54"/>
      <c r="AH13" s="55"/>
      <c r="AI13" s="56"/>
      <c r="CD13" s="10"/>
    </row>
    <row r="14" spans="1:82" ht="33" customHeight="1" x14ac:dyDescent="0.25">
      <c r="A14" s="56"/>
      <c r="B14" s="66"/>
      <c r="C14" s="11" t="s">
        <v>45</v>
      </c>
      <c r="D14" s="11" t="s">
        <v>46</v>
      </c>
      <c r="E14" s="11" t="s">
        <v>47</v>
      </c>
      <c r="F14" s="11" t="s">
        <v>46</v>
      </c>
      <c r="G14" s="11" t="s">
        <v>47</v>
      </c>
      <c r="H14" s="11" t="s">
        <v>46</v>
      </c>
      <c r="I14" s="11" t="s">
        <v>47</v>
      </c>
      <c r="J14" s="11" t="s">
        <v>46</v>
      </c>
      <c r="K14" s="11" t="s">
        <v>47</v>
      </c>
      <c r="L14" s="11" t="s">
        <v>46</v>
      </c>
      <c r="M14" s="11" t="s">
        <v>47</v>
      </c>
      <c r="N14" s="11" t="s">
        <v>46</v>
      </c>
      <c r="O14" s="11" t="s">
        <v>47</v>
      </c>
      <c r="P14" s="11" t="s">
        <v>46</v>
      </c>
      <c r="Q14" s="11" t="s">
        <v>47</v>
      </c>
      <c r="R14" s="11" t="s">
        <v>46</v>
      </c>
      <c r="S14" s="11" t="s">
        <v>47</v>
      </c>
      <c r="T14" s="11" t="s">
        <v>46</v>
      </c>
      <c r="U14" s="11" t="s">
        <v>47</v>
      </c>
      <c r="V14" s="11" t="s">
        <v>46</v>
      </c>
      <c r="W14" s="12" t="s">
        <v>47</v>
      </c>
      <c r="X14" s="11" t="s">
        <v>46</v>
      </c>
      <c r="Y14" s="11" t="s">
        <v>47</v>
      </c>
      <c r="Z14" s="11" t="s">
        <v>46</v>
      </c>
      <c r="AA14" s="11" t="s">
        <v>47</v>
      </c>
      <c r="AB14" s="11" t="s">
        <v>46</v>
      </c>
      <c r="AC14" s="11" t="s">
        <v>47</v>
      </c>
      <c r="AD14" s="11" t="s">
        <v>46</v>
      </c>
      <c r="AE14" s="11" t="s">
        <v>47</v>
      </c>
      <c r="AF14" s="11" t="s">
        <v>46</v>
      </c>
      <c r="AG14" s="11" t="s">
        <v>47</v>
      </c>
      <c r="AH14" s="13" t="s">
        <v>46</v>
      </c>
      <c r="AI14" s="56"/>
      <c r="CD14" s="10"/>
    </row>
    <row r="15" spans="1:82" ht="15.6" hidden="1" customHeight="1" x14ac:dyDescent="0.25">
      <c r="A15" s="14">
        <v>2000</v>
      </c>
      <c r="B15" s="15">
        <v>466.5</v>
      </c>
      <c r="C15" s="15" t="s">
        <v>48</v>
      </c>
      <c r="D15" s="15" t="s">
        <v>48</v>
      </c>
      <c r="E15" s="15">
        <v>76.456999999999994</v>
      </c>
      <c r="F15" s="15">
        <f t="shared" ref="F15:F32" si="0">E15/$B15*100</f>
        <v>16.389496248660233</v>
      </c>
      <c r="G15" s="15">
        <v>15.954000000000001</v>
      </c>
      <c r="H15" s="15">
        <f t="shared" ref="H15:H32" si="1">G15/$B15*100</f>
        <v>3.4199356913183281</v>
      </c>
      <c r="I15" s="15">
        <v>36.938000000000002</v>
      </c>
      <c r="J15" s="15">
        <f t="shared" ref="J15:J32" si="2">I15/$B15*100</f>
        <v>7.9181136120042881</v>
      </c>
      <c r="K15" s="15">
        <v>12.933999999999999</v>
      </c>
      <c r="L15" s="15">
        <f t="shared" ref="L15:L32" si="3">K15/$B15*100</f>
        <v>2.7725616291532686</v>
      </c>
      <c r="M15" s="15">
        <v>15.74</v>
      </c>
      <c r="N15" s="15">
        <f t="shared" ref="N15:N32" si="4">M15/$B15*100</f>
        <v>3.37406216505895</v>
      </c>
      <c r="O15" s="15">
        <v>70.42</v>
      </c>
      <c r="P15" s="15">
        <f t="shared" ref="P15:P32" si="5">O15/$B15*100</f>
        <v>15.095391211146838</v>
      </c>
      <c r="Q15" s="15">
        <v>41.737000000000002</v>
      </c>
      <c r="R15" s="15">
        <f t="shared" ref="R15:R32" si="6">Q15/$B15*100</f>
        <v>8.9468381564844588</v>
      </c>
      <c r="S15" s="15"/>
      <c r="T15" s="15"/>
      <c r="U15" s="15" t="s">
        <v>48</v>
      </c>
      <c r="V15" s="15" t="s">
        <v>49</v>
      </c>
      <c r="W15" s="15">
        <v>49.31</v>
      </c>
      <c r="X15" s="15">
        <f>W15/$B15*100</f>
        <v>10.570203644158628</v>
      </c>
      <c r="Y15" s="15">
        <v>46.86</v>
      </c>
      <c r="Z15" s="15">
        <f>Y15/$B15*100</f>
        <v>10.045016077170418</v>
      </c>
      <c r="AA15" s="16" t="s">
        <v>47</v>
      </c>
      <c r="AB15" s="16" t="s">
        <v>46</v>
      </c>
      <c r="AC15" s="16" t="s">
        <v>47</v>
      </c>
      <c r="AD15" s="16" t="s">
        <v>46</v>
      </c>
      <c r="AE15" s="16" t="s">
        <v>47</v>
      </c>
      <c r="AF15" s="16" t="s">
        <v>46</v>
      </c>
      <c r="AG15" s="16" t="s">
        <v>47</v>
      </c>
      <c r="AH15" s="17" t="s">
        <v>46</v>
      </c>
      <c r="AI15" s="18" t="s">
        <v>48</v>
      </c>
      <c r="CD15" s="10"/>
    </row>
    <row r="16" spans="1:82" hidden="1" x14ac:dyDescent="0.25">
      <c r="A16" s="19">
        <v>2001</v>
      </c>
      <c r="B16" s="20">
        <v>486.2</v>
      </c>
      <c r="C16" s="20">
        <v>134.4</v>
      </c>
      <c r="D16" s="20">
        <f t="shared" ref="D16:D32" si="7">C16/$B16*100</f>
        <v>27.642945290004118</v>
      </c>
      <c r="E16" s="20">
        <v>85.614000000000004</v>
      </c>
      <c r="F16" s="20">
        <f t="shared" si="0"/>
        <v>17.608802961744139</v>
      </c>
      <c r="G16" s="20">
        <v>33.826999999999998</v>
      </c>
      <c r="H16" s="20">
        <f t="shared" si="1"/>
        <v>6.9574249280131628</v>
      </c>
      <c r="I16" s="20">
        <v>14.57</v>
      </c>
      <c r="J16" s="20">
        <f t="shared" si="2"/>
        <v>2.9967091731797617</v>
      </c>
      <c r="K16" s="20">
        <v>9.0129999999999999</v>
      </c>
      <c r="L16" s="20">
        <f t="shared" si="3"/>
        <v>1.8537638831756478</v>
      </c>
      <c r="M16" s="20">
        <v>15.736000000000001</v>
      </c>
      <c r="N16" s="20">
        <f t="shared" si="4"/>
        <v>3.2365281777046486</v>
      </c>
      <c r="O16" s="20">
        <v>69.055999999999997</v>
      </c>
      <c r="P16" s="20">
        <f t="shared" si="5"/>
        <v>14.203208556149733</v>
      </c>
      <c r="Q16" s="20">
        <v>54.901000000000003</v>
      </c>
      <c r="R16" s="20">
        <f t="shared" si="6"/>
        <v>11.29185520361991</v>
      </c>
      <c r="S16" s="20"/>
      <c r="T16" s="20"/>
      <c r="U16" s="20">
        <v>0.26</v>
      </c>
      <c r="V16" s="20">
        <f>U16/$B16*100</f>
        <v>5.3475935828877004E-2</v>
      </c>
      <c r="W16" s="20">
        <v>38.853000000000002</v>
      </c>
      <c r="X16" s="20">
        <f>W16/$B16*100</f>
        <v>7.9911559029206085</v>
      </c>
      <c r="Y16" s="20">
        <v>11.237</v>
      </c>
      <c r="Z16" s="20">
        <f>Y16/$B16*100</f>
        <v>2.3111888111888113</v>
      </c>
      <c r="AA16" s="20"/>
      <c r="AB16" s="20"/>
      <c r="AC16" s="20"/>
      <c r="AD16" s="20"/>
      <c r="AE16" s="20"/>
      <c r="AF16" s="20"/>
      <c r="AG16" s="20"/>
      <c r="AH16" s="20"/>
      <c r="AI16" s="21">
        <v>17.747</v>
      </c>
      <c r="CD16" s="10"/>
    </row>
    <row r="17" spans="1:82" hidden="1" x14ac:dyDescent="0.25">
      <c r="A17" s="19">
        <v>2002</v>
      </c>
      <c r="B17" s="20">
        <v>520.16</v>
      </c>
      <c r="C17" s="20">
        <v>111.6</v>
      </c>
      <c r="D17" s="20">
        <f t="shared" si="7"/>
        <v>21.45493694247924</v>
      </c>
      <c r="E17" s="20">
        <v>102.235</v>
      </c>
      <c r="F17" s="20">
        <f t="shared" si="0"/>
        <v>19.654529375576747</v>
      </c>
      <c r="G17" s="20">
        <v>44.142000000000003</v>
      </c>
      <c r="H17" s="20">
        <f t="shared" si="1"/>
        <v>8.4862350046139667</v>
      </c>
      <c r="I17" s="20">
        <v>19.875</v>
      </c>
      <c r="J17" s="20">
        <f t="shared" si="2"/>
        <v>3.8209397108581977</v>
      </c>
      <c r="K17" s="20">
        <v>14.907</v>
      </c>
      <c r="L17" s="20">
        <f t="shared" si="3"/>
        <v>2.8658489695478315</v>
      </c>
      <c r="M17" s="20">
        <v>15.682</v>
      </c>
      <c r="N17" s="20">
        <f t="shared" si="4"/>
        <v>3.0148415872039376</v>
      </c>
      <c r="O17" s="20">
        <v>57</v>
      </c>
      <c r="P17" s="20">
        <f t="shared" si="5"/>
        <v>10.958166717932945</v>
      </c>
      <c r="Q17" s="20">
        <v>83.266999999999996</v>
      </c>
      <c r="R17" s="20">
        <f t="shared" si="6"/>
        <v>16.007959089510919</v>
      </c>
      <c r="S17" s="20"/>
      <c r="T17" s="20"/>
      <c r="U17" s="20">
        <v>0.6</v>
      </c>
      <c r="V17" s="20">
        <f>U17/$B17*100</f>
        <v>0.11534912334666259</v>
      </c>
      <c r="W17" s="20">
        <v>47.963000000000001</v>
      </c>
      <c r="X17" s="20">
        <f>W17/$B17*100</f>
        <v>9.2208166717932958</v>
      </c>
      <c r="Y17" s="22">
        <f>B17-C17-E17-G17-I17-K17-M17-W17-O17-Q17-U17-AA17-AC17-AE17-AG17</f>
        <v>22.888999999999946</v>
      </c>
      <c r="Z17" s="20">
        <f>Y17/$B17*100</f>
        <v>4.4003768071362552</v>
      </c>
      <c r="AA17" s="20"/>
      <c r="AB17" s="20"/>
      <c r="AC17" s="20"/>
      <c r="AD17" s="20"/>
      <c r="AE17" s="20"/>
      <c r="AF17" s="20"/>
      <c r="AG17" s="20"/>
      <c r="AH17" s="20"/>
      <c r="AI17" s="21">
        <v>20.89</v>
      </c>
      <c r="CD17" s="10"/>
    </row>
    <row r="18" spans="1:82" hidden="1" x14ac:dyDescent="0.25">
      <c r="A18" s="19">
        <v>2003</v>
      </c>
      <c r="B18" s="20">
        <v>670.3</v>
      </c>
      <c r="C18" s="20">
        <v>124.4</v>
      </c>
      <c r="D18" s="20">
        <f t="shared" si="7"/>
        <v>18.558854244368195</v>
      </c>
      <c r="E18" s="20">
        <f>562.651/5</f>
        <v>112.53019999999999</v>
      </c>
      <c r="F18" s="20">
        <f t="shared" si="0"/>
        <v>16.788035208115769</v>
      </c>
      <c r="G18" s="20">
        <f>194.357/5</f>
        <v>38.871400000000001</v>
      </c>
      <c r="H18" s="20">
        <f t="shared" si="1"/>
        <v>5.7991048784126518</v>
      </c>
      <c r="I18" s="20">
        <f>150.886/5</f>
        <v>30.177199999999999</v>
      </c>
      <c r="J18" s="20">
        <f t="shared" si="2"/>
        <v>4.5020438609577802</v>
      </c>
      <c r="K18" s="20">
        <f>151.267/5</f>
        <v>30.253399999999999</v>
      </c>
      <c r="L18" s="20">
        <f t="shared" si="3"/>
        <v>4.5134119051171115</v>
      </c>
      <c r="M18" s="20">
        <f>217.929/5</f>
        <v>43.585799999999999</v>
      </c>
      <c r="N18" s="20">
        <f t="shared" si="4"/>
        <v>6.5024317469789654</v>
      </c>
      <c r="O18" s="20">
        <v>57.128</v>
      </c>
      <c r="P18" s="20">
        <f t="shared" si="5"/>
        <v>8.5227510070117862</v>
      </c>
      <c r="Q18" s="20">
        <f>714.74/5</f>
        <v>142.94800000000001</v>
      </c>
      <c r="R18" s="20">
        <f t="shared" si="6"/>
        <v>21.325973444726245</v>
      </c>
      <c r="S18" s="20"/>
      <c r="T18" s="20"/>
      <c r="U18" s="20">
        <f>2.108/5</f>
        <v>0.42160000000000003</v>
      </c>
      <c r="V18" s="20">
        <f>U18/$B18*100</f>
        <v>6.2897210204386114E-2</v>
      </c>
      <c r="W18" s="20">
        <f>176.156/5</f>
        <v>35.231200000000001</v>
      </c>
      <c r="X18" s="20">
        <f>W18/$B18*100</f>
        <v>5.2560346113680447</v>
      </c>
      <c r="Y18" s="22">
        <f>B18-C18-E18-G18-I18-K18-M18-W18-O18-Q18-U18-AA18-AC18-AE18-AG18</f>
        <v>29.630704373499981</v>
      </c>
      <c r="Z18" s="20">
        <f>Y18/$B18*100</f>
        <v>4.4205138555124552</v>
      </c>
      <c r="AA18" s="4">
        <v>1.7524956264999998</v>
      </c>
      <c r="AB18" s="23">
        <f>AA18/B18*100</f>
        <v>0.2614494445024616</v>
      </c>
      <c r="AC18" s="4">
        <v>3.37</v>
      </c>
      <c r="AD18" s="23">
        <f>AC18/$B18*100</f>
        <v>0.50275995822765929</v>
      </c>
      <c r="AE18" s="4">
        <v>20</v>
      </c>
      <c r="AF18" s="23">
        <f>AE18/$B18*100</f>
        <v>2.9837386244964943</v>
      </c>
      <c r="AG18" s="4">
        <v>0</v>
      </c>
      <c r="AH18" s="23">
        <f>AG18/$B18*100</f>
        <v>0</v>
      </c>
      <c r="AI18" s="21">
        <f>104.308/5</f>
        <v>20.861600000000003</v>
      </c>
      <c r="CD18" s="10"/>
    </row>
    <row r="19" spans="1:82" s="1" customFormat="1" ht="12.75" hidden="1" customHeight="1" x14ac:dyDescent="0.25">
      <c r="A19" s="19">
        <v>2004</v>
      </c>
      <c r="B19" s="24">
        <v>989.5</v>
      </c>
      <c r="C19" s="24">
        <v>109</v>
      </c>
      <c r="D19" s="24">
        <f t="shared" si="7"/>
        <v>11.01566447700859</v>
      </c>
      <c r="E19" s="24">
        <v>217.6</v>
      </c>
      <c r="F19" s="24">
        <f t="shared" si="0"/>
        <v>21.990904497220818</v>
      </c>
      <c r="G19" s="24">
        <v>24.4</v>
      </c>
      <c r="H19" s="24">
        <f t="shared" si="1"/>
        <v>2.4658918645780696</v>
      </c>
      <c r="I19" s="24">
        <v>56.2</v>
      </c>
      <c r="J19" s="24">
        <f t="shared" si="2"/>
        <v>5.6796361798888331</v>
      </c>
      <c r="K19" s="24">
        <v>46.4</v>
      </c>
      <c r="L19" s="24">
        <f t="shared" si="3"/>
        <v>4.6892369883779681</v>
      </c>
      <c r="M19" s="24">
        <v>65.7</v>
      </c>
      <c r="N19" s="24">
        <f t="shared" si="4"/>
        <v>6.6397170288024263</v>
      </c>
      <c r="O19" s="24">
        <f>149.593</f>
        <v>149.59299999999999</v>
      </c>
      <c r="P19" s="24">
        <f t="shared" si="5"/>
        <v>15.118039413845374</v>
      </c>
      <c r="Q19" s="24">
        <v>276.89999999999998</v>
      </c>
      <c r="R19" s="24">
        <f t="shared" si="6"/>
        <v>27.983830217281451</v>
      </c>
      <c r="S19" s="24"/>
      <c r="T19" s="24"/>
      <c r="U19" s="24">
        <v>1.32</v>
      </c>
      <c r="V19" s="24">
        <f>U19/$B19*100</f>
        <v>0.13340070742799395</v>
      </c>
      <c r="W19" s="24">
        <v>14.24</v>
      </c>
      <c r="X19" s="24">
        <f>W19/$B19*100</f>
        <v>1.4391106619504801</v>
      </c>
      <c r="Y19" s="25">
        <f>B19-C19-E19-G19-I19-K19-M19-W19-O19-Q19-U19-AA19-AC19-AE19-AG19</f>
        <v>1.2913999999999861</v>
      </c>
      <c r="Z19" s="24">
        <f>Y19/$B19*100</f>
        <v>0.13051035876705266</v>
      </c>
      <c r="AA19" s="26">
        <v>0.30219999999999997</v>
      </c>
      <c r="AB19" s="24">
        <f>AA19/$B19*100</f>
        <v>3.0540677109651335E-2</v>
      </c>
      <c r="AC19" s="26">
        <v>3.3574750449599997</v>
      </c>
      <c r="AD19" s="24">
        <f>AC19/$B19*100</f>
        <v>0.33931026224962096</v>
      </c>
      <c r="AE19" s="26">
        <v>20.5002</v>
      </c>
      <c r="AF19" s="24">
        <f>AE19/$B19*100</f>
        <v>2.0717736230419401</v>
      </c>
      <c r="AG19" s="26">
        <v>2.6957249550399984</v>
      </c>
      <c r="AH19" s="24">
        <f>AG19/$B19*100</f>
        <v>0.27243304244972188</v>
      </c>
      <c r="AI19" s="27">
        <v>28.4</v>
      </c>
      <c r="CD19" s="8"/>
    </row>
    <row r="20" spans="1:82" x14ac:dyDescent="0.25">
      <c r="A20" s="28">
        <v>2005</v>
      </c>
      <c r="B20" s="27">
        <f>+B32</f>
        <v>1441</v>
      </c>
      <c r="C20" s="27">
        <f t="shared" ref="C20:AI20" si="8">+C32</f>
        <v>68.2</v>
      </c>
      <c r="D20" s="27">
        <f t="shared" si="8"/>
        <v>4.7328244274809164</v>
      </c>
      <c r="E20" s="27">
        <f t="shared" si="8"/>
        <v>361.00200000000001</v>
      </c>
      <c r="F20" s="27">
        <f t="shared" si="8"/>
        <v>25.052185981956974</v>
      </c>
      <c r="G20" s="27">
        <f t="shared" si="8"/>
        <v>181.357</v>
      </c>
      <c r="H20" s="27">
        <f t="shared" si="8"/>
        <v>12.585496183206107</v>
      </c>
      <c r="I20" s="27">
        <f t="shared" si="8"/>
        <v>97.6</v>
      </c>
      <c r="J20" s="27">
        <f t="shared" si="8"/>
        <v>6.7730742539902842</v>
      </c>
      <c r="K20" s="27">
        <f t="shared" si="8"/>
        <v>82.234999999999999</v>
      </c>
      <c r="L20" s="27">
        <f t="shared" si="8"/>
        <v>5.7068008327550306</v>
      </c>
      <c r="M20" s="27">
        <f t="shared" si="8"/>
        <v>83.346000000000004</v>
      </c>
      <c r="N20" s="27">
        <f t="shared" si="8"/>
        <v>5.7839000693962532</v>
      </c>
      <c r="O20" s="27">
        <f t="shared" si="8"/>
        <v>128.161</v>
      </c>
      <c r="P20" s="27">
        <f t="shared" si="8"/>
        <v>8.8938931297709924</v>
      </c>
      <c r="Q20" s="27">
        <f t="shared" si="8"/>
        <v>389.2</v>
      </c>
      <c r="R20" s="27">
        <f t="shared" si="8"/>
        <v>27.009021512838306</v>
      </c>
      <c r="S20" s="27"/>
      <c r="T20" s="27"/>
      <c r="U20" s="27">
        <f t="shared" si="8"/>
        <v>0.5</v>
      </c>
      <c r="V20" s="27">
        <f t="shared" si="8"/>
        <v>3.4698126301179737E-2</v>
      </c>
      <c r="W20" s="27">
        <f t="shared" si="8"/>
        <v>8.2159999999999993</v>
      </c>
      <c r="X20" s="27">
        <f t="shared" si="8"/>
        <v>0.57015961138098536</v>
      </c>
      <c r="Y20" s="27">
        <f t="shared" ref="Y20:Y83" si="9">((B20-C20-E20-G20-I20-K20-M20-W20-O20-Q20-U20-AA20-AC20-AE20-AG20))</f>
        <v>11.591199999999985</v>
      </c>
      <c r="Z20" s="27">
        <f t="shared" si="8"/>
        <v>0.80438584316446815</v>
      </c>
      <c r="AA20" s="27">
        <f t="shared" si="8"/>
        <v>1.212</v>
      </c>
      <c r="AB20" s="27">
        <f t="shared" si="8"/>
        <v>8.4108258154059673E-2</v>
      </c>
      <c r="AC20" s="27">
        <f t="shared" si="8"/>
        <v>4.6452</v>
      </c>
      <c r="AD20" s="27">
        <f t="shared" si="8"/>
        <v>0.32235947258848019</v>
      </c>
      <c r="AE20" s="27">
        <f t="shared" si="8"/>
        <v>20.147200000000002</v>
      </c>
      <c r="AF20" s="27">
        <f t="shared" si="8"/>
        <v>1.3981401804302569</v>
      </c>
      <c r="AG20" s="27">
        <f t="shared" si="8"/>
        <v>3.5874000000000001</v>
      </c>
      <c r="AH20" s="27">
        <f t="shared" si="8"/>
        <v>0.2489521165857044</v>
      </c>
      <c r="AI20" s="27">
        <f t="shared" si="8"/>
        <v>45.781999999999996</v>
      </c>
      <c r="CD20" s="10"/>
    </row>
    <row r="21" spans="1:82" hidden="1" x14ac:dyDescent="0.25">
      <c r="A21" s="29" t="s">
        <v>50</v>
      </c>
      <c r="B21" s="27">
        <v>970.3</v>
      </c>
      <c r="C21" s="27">
        <v>106.8</v>
      </c>
      <c r="D21" s="27">
        <f t="shared" si="7"/>
        <v>11.006905080902813</v>
      </c>
      <c r="E21" s="27">
        <f>232.776</f>
        <v>232.77600000000001</v>
      </c>
      <c r="F21" s="27">
        <f t="shared" si="0"/>
        <v>23.990106152736267</v>
      </c>
      <c r="G21" s="27">
        <f>31.518</f>
        <v>31.518000000000001</v>
      </c>
      <c r="H21" s="27">
        <f t="shared" si="1"/>
        <v>3.2482737297742967</v>
      </c>
      <c r="I21" s="27">
        <v>57.06</v>
      </c>
      <c r="J21" s="27">
        <f t="shared" si="2"/>
        <v>5.8806554673812226</v>
      </c>
      <c r="K21" s="27">
        <f>47.747</f>
        <v>47.747</v>
      </c>
      <c r="L21" s="27">
        <f t="shared" si="3"/>
        <v>4.9208492218901378</v>
      </c>
      <c r="M21" s="27">
        <f>66.635</f>
        <v>66.635000000000005</v>
      </c>
      <c r="N21" s="27">
        <f t="shared" si="4"/>
        <v>6.8674636710295793</v>
      </c>
      <c r="O21" s="27">
        <f>111.805</f>
        <v>111.80500000000001</v>
      </c>
      <c r="P21" s="27">
        <f t="shared" si="5"/>
        <v>11.522724930433888</v>
      </c>
      <c r="Q21" s="27">
        <v>280.10000000000002</v>
      </c>
      <c r="R21" s="27">
        <f t="shared" si="6"/>
        <v>28.867360610120585</v>
      </c>
      <c r="S21" s="27"/>
      <c r="T21" s="27"/>
      <c r="U21" s="27">
        <v>0.96</v>
      </c>
      <c r="V21" s="27">
        <f t="shared" ref="V21:V32" si="10">U21/$B21*100</f>
        <v>9.8938472637328662E-2</v>
      </c>
      <c r="W21" s="27">
        <f>2.889</f>
        <v>2.8889999999999998</v>
      </c>
      <c r="X21" s="27">
        <f t="shared" ref="X21:X32" si="11">W21/$B21*100</f>
        <v>0.29774296609296091</v>
      </c>
      <c r="Y21" s="30">
        <f t="shared" si="9"/>
        <v>-22.835536276760088</v>
      </c>
      <c r="Z21" s="27">
        <f t="shared" ref="Z21:Z32" si="12">Y21/$B21*100</f>
        <v>-2.3534511261218269</v>
      </c>
      <c r="AA21" s="31">
        <v>0.14319999999999999</v>
      </c>
      <c r="AB21" s="27">
        <f t="shared" ref="AB21:AB32" si="13">AA21/$B21*100</f>
        <v>1.4758322168401526E-2</v>
      </c>
      <c r="AC21" s="31">
        <v>3.3677362767600001</v>
      </c>
      <c r="AD21" s="27">
        <f t="shared" ref="AD21:AD32" si="14">AC21/$B21*100</f>
        <v>0.34708196194579</v>
      </c>
      <c r="AE21" s="31">
        <v>21.194600000000001</v>
      </c>
      <c r="AF21" s="27">
        <f t="shared" ref="AF21:AF32" si="15">AE21/$B21*100</f>
        <v>2.1843347418324233</v>
      </c>
      <c r="AG21" s="31">
        <v>30.14</v>
      </c>
      <c r="AH21" s="27">
        <f t="shared" ref="AH21:AH32" si="16">AG21/$B21*100</f>
        <v>3.1062557971761313</v>
      </c>
      <c r="AI21" s="27">
        <f>25.196</f>
        <v>25.196000000000002</v>
      </c>
      <c r="CD21" s="10"/>
    </row>
    <row r="22" spans="1:82" hidden="1" x14ac:dyDescent="0.25">
      <c r="A22" s="29" t="s">
        <v>51</v>
      </c>
      <c r="B22" s="27">
        <v>1018</v>
      </c>
      <c r="C22" s="27">
        <v>106.6</v>
      </c>
      <c r="D22" s="27">
        <f t="shared" si="7"/>
        <v>10.471512770137524</v>
      </c>
      <c r="E22" s="27">
        <f>245.197</f>
        <v>245.197</v>
      </c>
      <c r="F22" s="27">
        <f t="shared" si="0"/>
        <v>24.086149312377213</v>
      </c>
      <c r="G22" s="27">
        <f>37.078</f>
        <v>37.078000000000003</v>
      </c>
      <c r="H22" s="27">
        <f t="shared" si="1"/>
        <v>3.6422396856581538</v>
      </c>
      <c r="I22" s="27">
        <v>57.3</v>
      </c>
      <c r="J22" s="27">
        <f t="shared" si="2"/>
        <v>5.6286836935166988</v>
      </c>
      <c r="K22" s="27">
        <f>49.6</f>
        <v>49.6</v>
      </c>
      <c r="L22" s="27">
        <f t="shared" si="3"/>
        <v>4.8722986247544204</v>
      </c>
      <c r="M22" s="27">
        <f>68.144</f>
        <v>68.144000000000005</v>
      </c>
      <c r="N22" s="27">
        <f t="shared" si="4"/>
        <v>6.6939096267190576</v>
      </c>
      <c r="O22" s="27">
        <f>129.891</f>
        <v>129.89099999999999</v>
      </c>
      <c r="P22" s="27">
        <f t="shared" si="5"/>
        <v>12.759430255402748</v>
      </c>
      <c r="Q22" s="27">
        <v>289.8</v>
      </c>
      <c r="R22" s="27">
        <f t="shared" si="6"/>
        <v>28.467583497053045</v>
      </c>
      <c r="S22" s="27"/>
      <c r="T22" s="27"/>
      <c r="U22" s="27">
        <v>0.4</v>
      </c>
      <c r="V22" s="27">
        <f t="shared" si="10"/>
        <v>3.9292730844793719E-2</v>
      </c>
      <c r="W22" s="27">
        <f>2.651</f>
        <v>2.6509999999999998</v>
      </c>
      <c r="X22" s="27">
        <f t="shared" si="11"/>
        <v>0.26041257367387033</v>
      </c>
      <c r="Y22" s="30">
        <f t="shared" si="9"/>
        <v>-22.390532717060022</v>
      </c>
      <c r="Z22" s="27">
        <f t="shared" si="12"/>
        <v>-2.1994629388074678</v>
      </c>
      <c r="AA22" s="31">
        <v>0.1749525129</v>
      </c>
      <c r="AB22" s="27">
        <f t="shared" si="13"/>
        <v>1.7185905000000001E-2</v>
      </c>
      <c r="AC22" s="31">
        <v>3.3574750449599997</v>
      </c>
      <c r="AD22" s="27">
        <f t="shared" si="14"/>
        <v>0.32981090814931235</v>
      </c>
      <c r="AE22" s="31">
        <v>21.3371051592</v>
      </c>
      <c r="AF22" s="27">
        <f t="shared" si="15"/>
        <v>2.0959828250687624</v>
      </c>
      <c r="AG22" s="31">
        <v>28.86</v>
      </c>
      <c r="AH22" s="27">
        <f t="shared" si="16"/>
        <v>2.8349705304518662</v>
      </c>
      <c r="AI22" s="27">
        <f>26.118</f>
        <v>26.117999999999999</v>
      </c>
      <c r="CD22" s="10"/>
    </row>
    <row r="23" spans="1:82" hidden="1" x14ac:dyDescent="0.25">
      <c r="A23" s="29" t="s">
        <v>52</v>
      </c>
      <c r="B23" s="27">
        <v>1073.5</v>
      </c>
      <c r="C23" s="27">
        <v>104.2</v>
      </c>
      <c r="D23" s="27">
        <f t="shared" si="7"/>
        <v>9.7065673032137862</v>
      </c>
      <c r="E23" s="27">
        <f>275.384</f>
        <v>275.38400000000001</v>
      </c>
      <c r="F23" s="27">
        <f t="shared" si="0"/>
        <v>25.652911038658594</v>
      </c>
      <c r="G23" s="27">
        <f>41.203</f>
        <v>41.203000000000003</v>
      </c>
      <c r="H23" s="27">
        <f t="shared" si="1"/>
        <v>3.8381928272007455</v>
      </c>
      <c r="I23" s="27">
        <v>57.3</v>
      </c>
      <c r="J23" s="27">
        <f t="shared" si="2"/>
        <v>5.3376804843968326</v>
      </c>
      <c r="K23" s="27">
        <f>50.982</f>
        <v>50.981999999999999</v>
      </c>
      <c r="L23" s="27">
        <f t="shared" si="3"/>
        <v>4.749138332557056</v>
      </c>
      <c r="M23" s="27">
        <f>71.723</f>
        <v>71.722999999999999</v>
      </c>
      <c r="N23" s="27">
        <f t="shared" si="4"/>
        <v>6.6812296227293899</v>
      </c>
      <c r="O23" s="27">
        <f>130.674</f>
        <v>130.67400000000001</v>
      </c>
      <c r="P23" s="27">
        <f t="shared" si="5"/>
        <v>12.172706101537029</v>
      </c>
      <c r="Q23" s="27">
        <v>304.8</v>
      </c>
      <c r="R23" s="27">
        <f t="shared" si="6"/>
        <v>28.393106660456453</v>
      </c>
      <c r="S23" s="27"/>
      <c r="T23" s="27"/>
      <c r="U23" s="27">
        <v>0.4</v>
      </c>
      <c r="V23" s="27">
        <f t="shared" si="10"/>
        <v>3.7261294829995344E-2</v>
      </c>
      <c r="W23" s="27">
        <f>2.174</f>
        <v>2.1739999999999999</v>
      </c>
      <c r="X23" s="27">
        <f t="shared" si="11"/>
        <v>0.20251513740102467</v>
      </c>
      <c r="Y23" s="30">
        <f t="shared" si="9"/>
        <v>5.3460136068260011</v>
      </c>
      <c r="Z23" s="27">
        <f t="shared" si="12"/>
        <v>0.49799847292277605</v>
      </c>
      <c r="AA23" s="31">
        <v>0.279968053524</v>
      </c>
      <c r="AB23" s="27">
        <f t="shared" si="13"/>
        <v>2.6079930463344204E-2</v>
      </c>
      <c r="AC23" s="31">
        <v>3.3574750449599997</v>
      </c>
      <c r="AD23" s="27">
        <f t="shared" si="14"/>
        <v>0.31275966883651601</v>
      </c>
      <c r="AE23" s="31">
        <v>21.715683793215998</v>
      </c>
      <c r="AF23" s="27">
        <f t="shared" si="15"/>
        <v>2.0228862406349322</v>
      </c>
      <c r="AG23" s="31">
        <v>3.960859501474002</v>
      </c>
      <c r="AH23" s="27">
        <f t="shared" si="16"/>
        <v>0.3689668841615279</v>
      </c>
      <c r="AI23" s="27">
        <f>32.447</f>
        <v>32.447000000000003</v>
      </c>
      <c r="CD23" s="10"/>
    </row>
    <row r="24" spans="1:82" hidden="1" x14ac:dyDescent="0.25">
      <c r="A24" s="29" t="s">
        <v>53</v>
      </c>
      <c r="B24" s="27">
        <v>1098.4000000000001</v>
      </c>
      <c r="C24" s="27">
        <v>105.1</v>
      </c>
      <c r="D24" s="27">
        <f t="shared" si="7"/>
        <v>9.5684632192279668</v>
      </c>
      <c r="E24" s="27">
        <f>290.961</f>
        <v>290.96100000000001</v>
      </c>
      <c r="F24" s="27">
        <f t="shared" si="0"/>
        <v>26.489530225782953</v>
      </c>
      <c r="G24" s="27">
        <f>37.644</f>
        <v>37.643999999999998</v>
      </c>
      <c r="H24" s="27">
        <f t="shared" si="1"/>
        <v>3.4271667880553522</v>
      </c>
      <c r="I24" s="27">
        <v>55.4</v>
      </c>
      <c r="J24" s="27">
        <f t="shared" si="2"/>
        <v>5.0436999271667871</v>
      </c>
      <c r="K24" s="27">
        <f>56.241</f>
        <v>56.241</v>
      </c>
      <c r="L24" s="27">
        <f t="shared" si="3"/>
        <v>5.1202658412235973</v>
      </c>
      <c r="M24" s="27">
        <f>77.593</f>
        <v>77.593000000000004</v>
      </c>
      <c r="N24" s="27">
        <f t="shared" si="4"/>
        <v>7.064184268026219</v>
      </c>
      <c r="O24" s="27">
        <f>126.316</f>
        <v>126.316</v>
      </c>
      <c r="P24" s="27">
        <f t="shared" si="5"/>
        <v>11.5</v>
      </c>
      <c r="Q24" s="27">
        <v>312.60000000000002</v>
      </c>
      <c r="R24" s="27">
        <f t="shared" si="6"/>
        <v>28.459577567370719</v>
      </c>
      <c r="S24" s="27"/>
      <c r="T24" s="27"/>
      <c r="U24" s="27">
        <v>0.4</v>
      </c>
      <c r="V24" s="27">
        <f t="shared" si="10"/>
        <v>3.6416605972323379E-2</v>
      </c>
      <c r="W24" s="27">
        <f>2.996</f>
        <v>2.996</v>
      </c>
      <c r="X24" s="27">
        <f t="shared" si="11"/>
        <v>0.27276037873270209</v>
      </c>
      <c r="Y24" s="30">
        <f t="shared" si="9"/>
        <v>3.6094134047160953</v>
      </c>
      <c r="Z24" s="27">
        <f t="shared" si="12"/>
        <v>0.32860646437692048</v>
      </c>
      <c r="AA24" s="31">
        <v>0.5</v>
      </c>
      <c r="AB24" s="27">
        <f t="shared" si="13"/>
        <v>4.5520757465404217E-2</v>
      </c>
      <c r="AC24" s="31">
        <v>3.4</v>
      </c>
      <c r="AD24" s="27">
        <f t="shared" si="14"/>
        <v>0.3095411507647487</v>
      </c>
      <c r="AE24" s="31">
        <v>21.5</v>
      </c>
      <c r="AF24" s="27">
        <f t="shared" si="15"/>
        <v>1.9573925710123816</v>
      </c>
      <c r="AG24" s="31">
        <v>4.1395865952839994</v>
      </c>
      <c r="AH24" s="27">
        <f t="shared" si="16"/>
        <v>0.37687423482192273</v>
      </c>
      <c r="AI24" s="27">
        <f>30.865</f>
        <v>30.864999999999998</v>
      </c>
      <c r="CD24" s="10"/>
    </row>
    <row r="25" spans="1:82" hidden="1" x14ac:dyDescent="0.25">
      <c r="A25" s="29" t="s">
        <v>54</v>
      </c>
      <c r="B25" s="27">
        <v>1114.7</v>
      </c>
      <c r="C25" s="27">
        <v>106.9</v>
      </c>
      <c r="D25" s="27">
        <f t="shared" si="7"/>
        <v>9.5900242217637022</v>
      </c>
      <c r="E25" s="27">
        <f>289.847</f>
        <v>289.84699999999998</v>
      </c>
      <c r="F25" s="27">
        <f t="shared" si="0"/>
        <v>26.002242755898447</v>
      </c>
      <c r="G25" s="27">
        <f>33.681</f>
        <v>33.680999999999997</v>
      </c>
      <c r="H25" s="27">
        <f t="shared" si="1"/>
        <v>3.0215304566251007</v>
      </c>
      <c r="I25" s="27">
        <v>59.1</v>
      </c>
      <c r="J25" s="27">
        <f t="shared" si="2"/>
        <v>5.3018749439311019</v>
      </c>
      <c r="K25" s="27">
        <f>60.899</f>
        <v>60.899000000000001</v>
      </c>
      <c r="L25" s="27">
        <f t="shared" si="3"/>
        <v>5.463263658383422</v>
      </c>
      <c r="M25" s="27">
        <f>80.911</f>
        <v>80.911000000000001</v>
      </c>
      <c r="N25" s="27">
        <f t="shared" si="4"/>
        <v>7.2585448999730868</v>
      </c>
      <c r="O25" s="27">
        <f>126.126</f>
        <v>126.126</v>
      </c>
      <c r="P25" s="27">
        <f t="shared" si="5"/>
        <v>11.314793217906164</v>
      </c>
      <c r="Q25" s="27">
        <v>321.8</v>
      </c>
      <c r="R25" s="27">
        <f t="shared" si="6"/>
        <v>28.868753924822819</v>
      </c>
      <c r="S25" s="27"/>
      <c r="T25" s="27"/>
      <c r="U25" s="27">
        <v>0.4</v>
      </c>
      <c r="V25" s="27">
        <f t="shared" si="10"/>
        <v>3.5884094375168207E-2</v>
      </c>
      <c r="W25" s="27">
        <f>2.828</f>
        <v>2.8279999999999998</v>
      </c>
      <c r="X25" s="27">
        <f t="shared" si="11"/>
        <v>0.25370054723243918</v>
      </c>
      <c r="Y25" s="30">
        <f t="shared" si="9"/>
        <v>2.9622000000000037</v>
      </c>
      <c r="Z25" s="27">
        <f t="shared" si="12"/>
        <v>0.26573966089530848</v>
      </c>
      <c r="AA25" s="31">
        <v>1.4799999999999999E-2</v>
      </c>
      <c r="AB25" s="27">
        <f t="shared" si="13"/>
        <v>1.3277114918812236E-3</v>
      </c>
      <c r="AC25" s="31">
        <v>3.5954000000000002</v>
      </c>
      <c r="AD25" s="27">
        <f t="shared" si="14"/>
        <v>0.32254418229119941</v>
      </c>
      <c r="AE25" s="31">
        <v>21.56</v>
      </c>
      <c r="AF25" s="27">
        <f t="shared" si="15"/>
        <v>1.9341526868215659</v>
      </c>
      <c r="AG25" s="31">
        <v>4.0756000000000006</v>
      </c>
      <c r="AH25" s="27">
        <f t="shared" si="16"/>
        <v>0.36562303758858888</v>
      </c>
      <c r="AI25" s="27">
        <f>35.464</f>
        <v>35.463999999999999</v>
      </c>
      <c r="CD25" s="10"/>
    </row>
    <row r="26" spans="1:82" hidden="1" x14ac:dyDescent="0.25">
      <c r="A26" s="29" t="s">
        <v>55</v>
      </c>
      <c r="B26" s="27">
        <v>1079.5999999999999</v>
      </c>
      <c r="C26" s="27">
        <v>59.2</v>
      </c>
      <c r="D26" s="27">
        <f t="shared" si="7"/>
        <v>5.4835124120044467</v>
      </c>
      <c r="E26" s="27">
        <f>290.784</f>
        <v>290.78399999999999</v>
      </c>
      <c r="F26" s="27">
        <f t="shared" si="0"/>
        <v>26.934420155613193</v>
      </c>
      <c r="G26" s="27">
        <f>29.642</f>
        <v>29.641999999999999</v>
      </c>
      <c r="H26" s="27">
        <f t="shared" si="1"/>
        <v>2.7456465357539832</v>
      </c>
      <c r="I26" s="27">
        <v>59.8</v>
      </c>
      <c r="J26" s="27">
        <f t="shared" si="2"/>
        <v>5.5390885513153023</v>
      </c>
      <c r="K26" s="27">
        <f>64.896</f>
        <v>64.896000000000001</v>
      </c>
      <c r="L26" s="27">
        <f t="shared" si="3"/>
        <v>6.011115227862172</v>
      </c>
      <c r="M26" s="27">
        <f>85.02</f>
        <v>85.02</v>
      </c>
      <c r="N26" s="27">
        <f t="shared" si="4"/>
        <v>7.8751389403482781</v>
      </c>
      <c r="O26" s="27">
        <f>115.771</f>
        <v>115.771</v>
      </c>
      <c r="P26" s="27">
        <f t="shared" si="5"/>
        <v>10.723508706928493</v>
      </c>
      <c r="Q26" s="27">
        <v>339.4</v>
      </c>
      <c r="R26" s="27">
        <f t="shared" si="6"/>
        <v>31.437569470174136</v>
      </c>
      <c r="S26" s="27"/>
      <c r="T26" s="27"/>
      <c r="U26" s="27">
        <v>0.4</v>
      </c>
      <c r="V26" s="27">
        <f t="shared" si="10"/>
        <v>3.7050759540570584E-2</v>
      </c>
      <c r="W26" s="27">
        <f>6.354</f>
        <v>6.3540000000000001</v>
      </c>
      <c r="X26" s="27">
        <f t="shared" si="11"/>
        <v>0.5885513153019637</v>
      </c>
      <c r="Y26" s="30">
        <f t="shared" si="9"/>
        <v>0.68139999999994938</v>
      </c>
      <c r="Z26" s="27">
        <f t="shared" si="12"/>
        <v>6.3115968877357306E-2</v>
      </c>
      <c r="AA26" s="31">
        <v>7.5200000000000003E-2</v>
      </c>
      <c r="AB26" s="27">
        <f t="shared" si="13"/>
        <v>6.9655427936272706E-3</v>
      </c>
      <c r="AC26" s="31">
        <v>3.5927999999999995</v>
      </c>
      <c r="AD26" s="27">
        <f t="shared" si="14"/>
        <v>0.33278992219340492</v>
      </c>
      <c r="AE26" s="31">
        <v>20.908799999999999</v>
      </c>
      <c r="AF26" s="27">
        <f t="shared" si="15"/>
        <v>1.9367173027047058</v>
      </c>
      <c r="AG26" s="31">
        <v>3.0748000000000006</v>
      </c>
      <c r="AH26" s="27">
        <f t="shared" si="16"/>
        <v>0.28480918858836618</v>
      </c>
      <c r="AI26" s="27">
        <f>38.128</f>
        <v>38.128</v>
      </c>
      <c r="CD26" s="10"/>
    </row>
    <row r="27" spans="1:82" hidden="1" x14ac:dyDescent="0.25">
      <c r="A27" s="29" t="s">
        <v>56</v>
      </c>
      <c r="B27" s="27">
        <v>1116.5</v>
      </c>
      <c r="C27" s="27">
        <v>55.78</v>
      </c>
      <c r="D27" s="27">
        <f t="shared" si="7"/>
        <v>4.9959695476936856</v>
      </c>
      <c r="E27" s="27">
        <f>304.857</f>
        <v>304.85700000000003</v>
      </c>
      <c r="F27" s="27">
        <f t="shared" si="0"/>
        <v>27.304702194357372</v>
      </c>
      <c r="G27" s="27">
        <f>37.719</f>
        <v>37.719000000000001</v>
      </c>
      <c r="H27" s="27">
        <f t="shared" si="1"/>
        <v>3.3783251231527096</v>
      </c>
      <c r="I27" s="27">
        <v>60.2</v>
      </c>
      <c r="J27" s="27">
        <f t="shared" si="2"/>
        <v>5.3918495297805649</v>
      </c>
      <c r="K27" s="27">
        <f>67.497</f>
        <v>67.497</v>
      </c>
      <c r="L27" s="27">
        <f t="shared" si="3"/>
        <v>6.0454097626511416</v>
      </c>
      <c r="M27" s="27">
        <f>86.345</f>
        <v>86.344999999999999</v>
      </c>
      <c r="N27" s="27">
        <f t="shared" si="4"/>
        <v>7.7335423197492164</v>
      </c>
      <c r="O27" s="27">
        <f>114.745</f>
        <v>114.745</v>
      </c>
      <c r="P27" s="27">
        <f t="shared" si="5"/>
        <v>10.277205553067622</v>
      </c>
      <c r="Q27" s="27">
        <v>354.8</v>
      </c>
      <c r="R27" s="27">
        <f t="shared" si="6"/>
        <v>31.777877295118671</v>
      </c>
      <c r="S27" s="27"/>
      <c r="T27" s="27"/>
      <c r="U27" s="27">
        <v>0.4</v>
      </c>
      <c r="V27" s="27">
        <f t="shared" si="10"/>
        <v>3.582624272279445E-2</v>
      </c>
      <c r="W27" s="27">
        <f>3.145</f>
        <v>3.145</v>
      </c>
      <c r="X27" s="27">
        <f t="shared" si="11"/>
        <v>0.28168383340797132</v>
      </c>
      <c r="Y27" s="30">
        <f t="shared" si="9"/>
        <v>2.2063999999999795</v>
      </c>
      <c r="Z27" s="27">
        <f t="shared" si="12"/>
        <v>0.19761755485893234</v>
      </c>
      <c r="AA27" s="31">
        <v>0.31579999999999997</v>
      </c>
      <c r="AB27" s="27">
        <f t="shared" si="13"/>
        <v>2.8284818629646213E-2</v>
      </c>
      <c r="AC27" s="31">
        <v>3.9665999999999997</v>
      </c>
      <c r="AD27" s="27">
        <f t="shared" si="14"/>
        <v>0.35527093596059106</v>
      </c>
      <c r="AE27" s="31">
        <v>21</v>
      </c>
      <c r="AF27" s="27">
        <f t="shared" si="15"/>
        <v>1.8808777429467085</v>
      </c>
      <c r="AG27" s="31">
        <v>3.5232000000000006</v>
      </c>
      <c r="AH27" s="27">
        <f t="shared" si="16"/>
        <v>0.31555754590237356</v>
      </c>
      <c r="AI27" s="27">
        <f>32.296</f>
        <v>32.295999999999999</v>
      </c>
      <c r="CD27" s="10"/>
    </row>
    <row r="28" spans="1:82" hidden="1" x14ac:dyDescent="0.25">
      <c r="A28" s="29" t="s">
        <v>57</v>
      </c>
      <c r="B28" s="27">
        <v>1208.8</v>
      </c>
      <c r="C28" s="27">
        <v>57.46</v>
      </c>
      <c r="D28" s="27">
        <f t="shared" si="7"/>
        <v>4.7534745201853079</v>
      </c>
      <c r="E28" s="27">
        <f>304.526</f>
        <v>304.52600000000001</v>
      </c>
      <c r="F28" s="27">
        <f t="shared" si="0"/>
        <v>25.192422236929186</v>
      </c>
      <c r="G28" s="27">
        <f>101.518</f>
        <v>101.518</v>
      </c>
      <c r="H28" s="27">
        <f t="shared" si="1"/>
        <v>8.3982461945731313</v>
      </c>
      <c r="I28" s="27">
        <v>65</v>
      </c>
      <c r="J28" s="27">
        <f t="shared" si="2"/>
        <v>5.3772336201191271</v>
      </c>
      <c r="K28" s="27">
        <f>66.862</f>
        <v>66.861999999999995</v>
      </c>
      <c r="L28" s="27">
        <f t="shared" si="3"/>
        <v>5.5312706816677695</v>
      </c>
      <c r="M28" s="27">
        <f>87.463</f>
        <v>87.462999999999994</v>
      </c>
      <c r="N28" s="27">
        <f t="shared" si="4"/>
        <v>7.2355228325612169</v>
      </c>
      <c r="O28" s="27">
        <f>122.483</f>
        <v>122.483</v>
      </c>
      <c r="P28" s="27">
        <f t="shared" si="5"/>
        <v>10.132610853739246</v>
      </c>
      <c r="Q28" s="27">
        <v>364.4</v>
      </c>
      <c r="R28" s="27">
        <f t="shared" si="6"/>
        <v>30.145598941098612</v>
      </c>
      <c r="S28" s="27"/>
      <c r="T28" s="27"/>
      <c r="U28" s="27">
        <v>0.4</v>
      </c>
      <c r="V28" s="27">
        <f t="shared" si="10"/>
        <v>3.3090668431502324E-2</v>
      </c>
      <c r="W28" s="27">
        <f>6.348</f>
        <v>6.3479999999999999</v>
      </c>
      <c r="X28" s="27">
        <f t="shared" si="11"/>
        <v>0.52514890800794178</v>
      </c>
      <c r="Y28" s="30">
        <f t="shared" si="9"/>
        <v>3.3509999999999494</v>
      </c>
      <c r="Z28" s="27">
        <f t="shared" si="12"/>
        <v>0.27721707478490648</v>
      </c>
      <c r="AA28" s="31">
        <v>0</v>
      </c>
      <c r="AB28" s="27">
        <f t="shared" si="13"/>
        <v>0</v>
      </c>
      <c r="AC28" s="31">
        <v>4.24</v>
      </c>
      <c r="AD28" s="27">
        <f t="shared" si="14"/>
        <v>0.35076108537392459</v>
      </c>
      <c r="AE28" s="31">
        <v>21</v>
      </c>
      <c r="AF28" s="27">
        <f t="shared" si="15"/>
        <v>1.7372600926538715</v>
      </c>
      <c r="AG28" s="31">
        <v>3.7490000000000023</v>
      </c>
      <c r="AH28" s="27">
        <f t="shared" si="16"/>
        <v>0.31014228987425563</v>
      </c>
      <c r="AI28" s="27">
        <f>32.021</f>
        <v>32.021000000000001</v>
      </c>
      <c r="CD28" s="10"/>
    </row>
    <row r="29" spans="1:82" hidden="1" x14ac:dyDescent="0.25">
      <c r="A29" s="29" t="s">
        <v>58</v>
      </c>
      <c r="B29" s="27">
        <v>1245.0999999999999</v>
      </c>
      <c r="C29" s="27">
        <v>63.2</v>
      </c>
      <c r="D29" s="27">
        <f t="shared" si="7"/>
        <v>5.0758975182716259</v>
      </c>
      <c r="E29" s="27">
        <f>312.839</f>
        <v>312.839</v>
      </c>
      <c r="F29" s="27">
        <f t="shared" si="0"/>
        <v>25.125612400610393</v>
      </c>
      <c r="G29" s="27">
        <f>103.485</f>
        <v>103.485</v>
      </c>
      <c r="H29" s="27">
        <f t="shared" si="1"/>
        <v>8.3113806119990361</v>
      </c>
      <c r="I29" s="27">
        <v>85.31</v>
      </c>
      <c r="J29" s="27">
        <f t="shared" si="2"/>
        <v>6.851658501325196</v>
      </c>
      <c r="K29" s="27">
        <f>68.268</f>
        <v>68.268000000000001</v>
      </c>
      <c r="L29" s="27">
        <f t="shared" si="3"/>
        <v>5.4829330977431532</v>
      </c>
      <c r="M29" s="27">
        <f>78.202</f>
        <v>78.201999999999998</v>
      </c>
      <c r="N29" s="27">
        <f t="shared" si="4"/>
        <v>6.2807806601879372</v>
      </c>
      <c r="O29" s="27">
        <f>120.962</f>
        <v>120.962</v>
      </c>
      <c r="P29" s="27">
        <f t="shared" si="5"/>
        <v>9.715042968436272</v>
      </c>
      <c r="Q29" s="27">
        <v>345.9</v>
      </c>
      <c r="R29" s="27">
        <f t="shared" si="6"/>
        <v>27.780901132439162</v>
      </c>
      <c r="S29" s="27"/>
      <c r="T29" s="27"/>
      <c r="U29" s="27">
        <v>0.5</v>
      </c>
      <c r="V29" s="27">
        <f t="shared" si="10"/>
        <v>4.0157417074933741E-2</v>
      </c>
      <c r="W29" s="27">
        <f>4.431</f>
        <v>4.431</v>
      </c>
      <c r="X29" s="27">
        <f t="shared" si="11"/>
        <v>0.35587503011806287</v>
      </c>
      <c r="Y29" s="30">
        <f t="shared" si="9"/>
        <v>33.162799999999812</v>
      </c>
      <c r="Z29" s="27">
        <f t="shared" si="12"/>
        <v>2.6634647819452106</v>
      </c>
      <c r="AA29" s="31">
        <v>0.21800000000000003</v>
      </c>
      <c r="AB29" s="27">
        <f t="shared" si="13"/>
        <v>1.7508633844671113E-2</v>
      </c>
      <c r="AC29" s="31">
        <v>4.24</v>
      </c>
      <c r="AD29" s="27">
        <f t="shared" si="14"/>
        <v>0.34053489679543814</v>
      </c>
      <c r="AE29" s="31">
        <v>21</v>
      </c>
      <c r="AF29" s="27">
        <f t="shared" si="15"/>
        <v>1.6866115171472171</v>
      </c>
      <c r="AG29" s="31">
        <v>3.3821999999999983</v>
      </c>
      <c r="AH29" s="27">
        <f t="shared" si="16"/>
        <v>0.27164083206168171</v>
      </c>
      <c r="AI29" s="27">
        <v>42.354999999999997</v>
      </c>
      <c r="CD29" s="10"/>
    </row>
    <row r="30" spans="1:82" hidden="1" x14ac:dyDescent="0.25">
      <c r="A30" s="29" t="s">
        <v>59</v>
      </c>
      <c r="B30" s="27">
        <v>1311.6</v>
      </c>
      <c r="C30" s="27">
        <v>67.400000000000006</v>
      </c>
      <c r="D30" s="27">
        <f t="shared" si="7"/>
        <v>5.1387618176273264</v>
      </c>
      <c r="E30" s="27">
        <f>330.175</f>
        <v>330.17500000000001</v>
      </c>
      <c r="F30" s="27">
        <f t="shared" si="0"/>
        <v>25.173452272034158</v>
      </c>
      <c r="G30" s="27">
        <f>125.999</f>
        <v>125.999</v>
      </c>
      <c r="H30" s="27">
        <f t="shared" si="1"/>
        <v>9.6065111314425131</v>
      </c>
      <c r="I30" s="27">
        <v>91.9</v>
      </c>
      <c r="J30" s="27">
        <f t="shared" si="2"/>
        <v>7.0067093626105521</v>
      </c>
      <c r="K30" s="27">
        <f>74.635</f>
        <v>74.635000000000005</v>
      </c>
      <c r="L30" s="27">
        <f t="shared" si="3"/>
        <v>5.6903781640744135</v>
      </c>
      <c r="M30" s="27">
        <f>81.848</f>
        <v>81.847999999999999</v>
      </c>
      <c r="N30" s="27">
        <f t="shared" si="4"/>
        <v>6.2403171698688631</v>
      </c>
      <c r="O30" s="27">
        <f>123.629</f>
        <v>123.629</v>
      </c>
      <c r="P30" s="27">
        <f t="shared" si="5"/>
        <v>9.4258157974992383</v>
      </c>
      <c r="Q30" s="27">
        <v>376.9</v>
      </c>
      <c r="R30" s="27">
        <f t="shared" si="6"/>
        <v>28.735895089966451</v>
      </c>
      <c r="S30" s="27"/>
      <c r="T30" s="27"/>
      <c r="U30" s="27">
        <v>0.5</v>
      </c>
      <c r="V30" s="27">
        <f t="shared" si="10"/>
        <v>3.8121378469045439E-2</v>
      </c>
      <c r="W30" s="27">
        <v>3</v>
      </c>
      <c r="X30" s="27">
        <f t="shared" si="11"/>
        <v>0.22872827081427266</v>
      </c>
      <c r="Y30" s="30">
        <f t="shared" si="9"/>
        <v>6.4771999999999261</v>
      </c>
      <c r="Z30" s="27">
        <f t="shared" si="12"/>
        <v>0.49383958523939669</v>
      </c>
      <c r="AA30" s="31">
        <v>0.68720000000000003</v>
      </c>
      <c r="AB30" s="27">
        <f t="shared" si="13"/>
        <v>5.2394022567856052E-2</v>
      </c>
      <c r="AC30" s="31">
        <v>4.5739999999999998</v>
      </c>
      <c r="AD30" s="27">
        <f t="shared" si="14"/>
        <v>0.34873437023482773</v>
      </c>
      <c r="AE30" s="31">
        <v>20.273199999999999</v>
      </c>
      <c r="AF30" s="27">
        <f t="shared" si="15"/>
        <v>1.545684659957304</v>
      </c>
      <c r="AG30" s="31">
        <v>3.6023999999999985</v>
      </c>
      <c r="AH30" s="27">
        <f t="shared" si="16"/>
        <v>0.27465690759377853</v>
      </c>
      <c r="AI30" s="27">
        <f>34.589</f>
        <v>34.588999999999999</v>
      </c>
      <c r="CD30" s="10"/>
    </row>
    <row r="31" spans="1:82" hidden="1" x14ac:dyDescent="0.25">
      <c r="A31" s="29" t="s">
        <v>60</v>
      </c>
      <c r="B31" s="27">
        <v>1358.5</v>
      </c>
      <c r="C31" s="27">
        <v>68.8</v>
      </c>
      <c r="D31" s="27">
        <f t="shared" si="7"/>
        <v>5.0644092749355902</v>
      </c>
      <c r="E31" s="27">
        <f>343.424</f>
        <v>343.42399999999998</v>
      </c>
      <c r="F31" s="27">
        <f t="shared" si="0"/>
        <v>25.279646669120353</v>
      </c>
      <c r="G31" s="27">
        <f>144.505</f>
        <v>144.505</v>
      </c>
      <c r="H31" s="27">
        <f t="shared" si="1"/>
        <v>10.637099742362901</v>
      </c>
      <c r="I31" s="27">
        <v>96.2</v>
      </c>
      <c r="J31" s="27">
        <f t="shared" si="2"/>
        <v>7.0813397129186608</v>
      </c>
      <c r="K31" s="27">
        <f>76.933</f>
        <v>76.933000000000007</v>
      </c>
      <c r="L31" s="27">
        <f t="shared" si="3"/>
        <v>5.6630842841369162</v>
      </c>
      <c r="M31" s="27">
        <f>81.798</f>
        <v>81.798000000000002</v>
      </c>
      <c r="N31" s="27">
        <f t="shared" si="4"/>
        <v>6.0211998527788007</v>
      </c>
      <c r="O31" s="27">
        <f>122.754</f>
        <v>122.754</v>
      </c>
      <c r="P31" s="27">
        <f t="shared" si="5"/>
        <v>9.0359955833640058</v>
      </c>
      <c r="Q31" s="27">
        <v>382</v>
      </c>
      <c r="R31" s="27">
        <f t="shared" si="6"/>
        <v>28.11924917188075</v>
      </c>
      <c r="S31" s="27"/>
      <c r="T31" s="27"/>
      <c r="U31" s="27">
        <v>0.5</v>
      </c>
      <c r="V31" s="27">
        <f t="shared" si="10"/>
        <v>3.6805299963194697E-2</v>
      </c>
      <c r="W31" s="27">
        <f>3.539</f>
        <v>3.5390000000000001</v>
      </c>
      <c r="X31" s="27">
        <f t="shared" si="11"/>
        <v>0.26050791313949212</v>
      </c>
      <c r="Y31" s="30">
        <f t="shared" si="9"/>
        <v>8.7206000000000277</v>
      </c>
      <c r="Z31" s="27">
        <f t="shared" si="12"/>
        <v>0.64192859771807342</v>
      </c>
      <c r="AA31" s="31">
        <v>0.98</v>
      </c>
      <c r="AB31" s="27">
        <f t="shared" si="13"/>
        <v>7.2138387927861605E-2</v>
      </c>
      <c r="AC31" s="31">
        <v>4.5599999999999996</v>
      </c>
      <c r="AD31" s="27">
        <f t="shared" si="14"/>
        <v>0.33566433566433562</v>
      </c>
      <c r="AE31" s="31">
        <v>20.1538</v>
      </c>
      <c r="AF31" s="27">
        <f t="shared" si="15"/>
        <v>1.4835333087964668</v>
      </c>
      <c r="AG31" s="31">
        <v>3.6325999999999978</v>
      </c>
      <c r="AH31" s="27">
        <f t="shared" si="16"/>
        <v>0.26739786529260196</v>
      </c>
      <c r="AI31" s="27">
        <f>34.602</f>
        <v>34.601999999999997</v>
      </c>
      <c r="CD31" s="10"/>
    </row>
    <row r="32" spans="1:82" hidden="1" x14ac:dyDescent="0.25">
      <c r="A32" s="29" t="s">
        <v>61</v>
      </c>
      <c r="B32" s="27">
        <v>1441</v>
      </c>
      <c r="C32" s="27">
        <v>68.2</v>
      </c>
      <c r="D32" s="27">
        <f t="shared" si="7"/>
        <v>4.7328244274809164</v>
      </c>
      <c r="E32" s="27">
        <f>361.002</f>
        <v>361.00200000000001</v>
      </c>
      <c r="F32" s="27">
        <f t="shared" si="0"/>
        <v>25.052185981956974</v>
      </c>
      <c r="G32" s="27">
        <f>181.357</f>
        <v>181.357</v>
      </c>
      <c r="H32" s="27">
        <f t="shared" si="1"/>
        <v>12.585496183206107</v>
      </c>
      <c r="I32" s="27">
        <v>97.6</v>
      </c>
      <c r="J32" s="27">
        <f t="shared" si="2"/>
        <v>6.7730742539902842</v>
      </c>
      <c r="K32" s="27">
        <f>82.235</f>
        <v>82.234999999999999</v>
      </c>
      <c r="L32" s="27">
        <f t="shared" si="3"/>
        <v>5.7068008327550306</v>
      </c>
      <c r="M32" s="27">
        <f>83.346</f>
        <v>83.346000000000004</v>
      </c>
      <c r="N32" s="27">
        <f t="shared" si="4"/>
        <v>5.7839000693962532</v>
      </c>
      <c r="O32" s="27">
        <f>128.161</f>
        <v>128.161</v>
      </c>
      <c r="P32" s="27">
        <f t="shared" si="5"/>
        <v>8.8938931297709924</v>
      </c>
      <c r="Q32" s="27">
        <v>389.2</v>
      </c>
      <c r="R32" s="27">
        <f t="shared" si="6"/>
        <v>27.009021512838306</v>
      </c>
      <c r="S32" s="27"/>
      <c r="T32" s="27"/>
      <c r="U32" s="27">
        <v>0.5</v>
      </c>
      <c r="V32" s="27">
        <f t="shared" si="10"/>
        <v>3.4698126301179737E-2</v>
      </c>
      <c r="W32" s="27">
        <f>8.216</f>
        <v>8.2159999999999993</v>
      </c>
      <c r="X32" s="27">
        <f t="shared" si="11"/>
        <v>0.57015961138098536</v>
      </c>
      <c r="Y32" s="30">
        <f t="shared" si="9"/>
        <v>11.591199999999985</v>
      </c>
      <c r="Z32" s="27">
        <f t="shared" si="12"/>
        <v>0.80438584316446815</v>
      </c>
      <c r="AA32" s="31">
        <v>1.212</v>
      </c>
      <c r="AB32" s="27">
        <f t="shared" si="13"/>
        <v>8.4108258154059673E-2</v>
      </c>
      <c r="AC32" s="31">
        <v>4.6452</v>
      </c>
      <c r="AD32" s="27">
        <f t="shared" si="14"/>
        <v>0.32235947258848019</v>
      </c>
      <c r="AE32" s="31">
        <v>20.147200000000002</v>
      </c>
      <c r="AF32" s="27">
        <f t="shared" si="15"/>
        <v>1.3981401804302569</v>
      </c>
      <c r="AG32" s="31">
        <v>3.5874000000000001</v>
      </c>
      <c r="AH32" s="27">
        <f t="shared" si="16"/>
        <v>0.2489521165857044</v>
      </c>
      <c r="AI32" s="27">
        <f>45.782</f>
        <v>45.781999999999996</v>
      </c>
      <c r="CD32" s="10"/>
    </row>
    <row r="33" spans="1:82" hidden="1" x14ac:dyDescent="0.25">
      <c r="A33" s="29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>
        <f t="shared" si="9"/>
        <v>0</v>
      </c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CD33" s="10"/>
    </row>
    <row r="34" spans="1:82" x14ac:dyDescent="0.25">
      <c r="A34" s="28">
        <v>2006</v>
      </c>
      <c r="B34" s="27">
        <f>+B46</f>
        <v>2362.721</v>
      </c>
      <c r="C34" s="27">
        <f t="shared" ref="C34:AI34" si="17">+C46</f>
        <v>77.655000000000001</v>
      </c>
      <c r="D34" s="27">
        <f t="shared" si="17"/>
        <v>3.2866766749015222</v>
      </c>
      <c r="E34" s="27">
        <f t="shared" si="17"/>
        <v>647.19000000000005</v>
      </c>
      <c r="F34" s="27">
        <f t="shared" si="17"/>
        <v>27.391723356249003</v>
      </c>
      <c r="G34" s="27">
        <f t="shared" si="17"/>
        <v>92.158000000000001</v>
      </c>
      <c r="H34" s="27">
        <f t="shared" si="17"/>
        <v>3.9005028524315826</v>
      </c>
      <c r="I34" s="27">
        <f t="shared" si="17"/>
        <v>136.48699999999999</v>
      </c>
      <c r="J34" s="27">
        <f t="shared" si="17"/>
        <v>5.7766871331824623</v>
      </c>
      <c r="K34" s="27">
        <f t="shared" si="17"/>
        <v>152.53100000000001</v>
      </c>
      <c r="L34" s="27">
        <f t="shared" si="17"/>
        <v>6.4557347228047668</v>
      </c>
      <c r="M34" s="27">
        <f t="shared" si="17"/>
        <v>192.57599999999999</v>
      </c>
      <c r="N34" s="27">
        <f t="shared" si="17"/>
        <v>8.150602631457545</v>
      </c>
      <c r="O34" s="27">
        <f t="shared" si="17"/>
        <v>214.85300000000001</v>
      </c>
      <c r="P34" s="27">
        <f t="shared" si="17"/>
        <v>9.0934562311842999</v>
      </c>
      <c r="Q34" s="27">
        <f t="shared" si="17"/>
        <v>778</v>
      </c>
      <c r="R34" s="27">
        <f t="shared" si="17"/>
        <v>32.928136669543292</v>
      </c>
      <c r="S34" s="27">
        <f t="shared" si="17"/>
        <v>63.300899999999999</v>
      </c>
      <c r="T34" s="27">
        <f t="shared" si="17"/>
        <v>2.6791525533484486</v>
      </c>
      <c r="U34" s="27">
        <f t="shared" si="17"/>
        <v>1.2170000000000001</v>
      </c>
      <c r="V34" s="27">
        <f t="shared" si="17"/>
        <v>5.1508409160455258E-2</v>
      </c>
      <c r="W34" s="27">
        <f t="shared" si="17"/>
        <v>18.163</v>
      </c>
      <c r="X34" s="27">
        <f t="shared" si="17"/>
        <v>0.76873232175953066</v>
      </c>
      <c r="Y34" s="27">
        <f t="shared" si="9"/>
        <v>10.403999999999719</v>
      </c>
      <c r="Z34" s="27">
        <f t="shared" si="17"/>
        <v>0.44033976080966475</v>
      </c>
      <c r="AA34" s="27">
        <f t="shared" si="17"/>
        <v>2.0459999999999998</v>
      </c>
      <c r="AB34" s="27">
        <f t="shared" si="17"/>
        <v>8.659507406926166E-2</v>
      </c>
      <c r="AC34" s="27">
        <f t="shared" si="17"/>
        <v>13.151</v>
      </c>
      <c r="AD34" s="27">
        <f t="shared" si="17"/>
        <v>0.55660401714802554</v>
      </c>
      <c r="AE34" s="27">
        <f t="shared" si="17"/>
        <v>20.363</v>
      </c>
      <c r="AF34" s="27">
        <f t="shared" si="17"/>
        <v>0.86184530462970443</v>
      </c>
      <c r="AG34" s="27">
        <f t="shared" si="17"/>
        <v>5.9269999999999996</v>
      </c>
      <c r="AH34" s="27">
        <f t="shared" si="17"/>
        <v>0.25085484066887287</v>
      </c>
      <c r="AI34" s="27">
        <f t="shared" si="17"/>
        <v>47.094000000000001</v>
      </c>
      <c r="CD34" s="10"/>
    </row>
    <row r="35" spans="1:82" hidden="1" x14ac:dyDescent="0.25">
      <c r="A35" s="29" t="s">
        <v>50</v>
      </c>
      <c r="B35" s="27">
        <v>1389.0360000000001</v>
      </c>
      <c r="C35" s="27">
        <v>68.900000000000006</v>
      </c>
      <c r="D35" s="27">
        <f t="shared" ref="D35:D46" si="18">C35/$B35*100</f>
        <v>4.9602746077135507</v>
      </c>
      <c r="E35" s="27">
        <v>363.1</v>
      </c>
      <c r="F35" s="27">
        <f t="shared" ref="F35:F46" si="19">E35/$B35*100</f>
        <v>26.14043120552671</v>
      </c>
      <c r="G35" s="27">
        <v>117.7</v>
      </c>
      <c r="H35" s="27">
        <f t="shared" ref="H35:H46" si="20">G35/$B35*100</f>
        <v>8.4735024866166171</v>
      </c>
      <c r="I35" s="27">
        <v>102</v>
      </c>
      <c r="J35" s="27">
        <f t="shared" ref="J35:J46" si="21">I35/$B35*100</f>
        <v>7.3432222059039498</v>
      </c>
      <c r="K35" s="27">
        <v>89.4</v>
      </c>
      <c r="L35" s="27">
        <f t="shared" ref="L35:L46" si="22">K35/$B35*100</f>
        <v>6.4361182863511095</v>
      </c>
      <c r="M35" s="27">
        <v>85.2</v>
      </c>
      <c r="N35" s="27">
        <f t="shared" ref="N35:N46" si="23">M35/$B35*100</f>
        <v>6.1337503131668294</v>
      </c>
      <c r="O35" s="27">
        <v>121.4</v>
      </c>
      <c r="P35" s="27">
        <f t="shared" ref="P35:P46" si="24">O35/$B35*100</f>
        <v>8.7398742725170546</v>
      </c>
      <c r="Q35" s="27">
        <v>408.6</v>
      </c>
      <c r="R35" s="27">
        <f t="shared" ref="R35:R46" si="25">Q35/$B35*100</f>
        <v>29.416084248356416</v>
      </c>
      <c r="S35" s="27"/>
      <c r="T35" s="27"/>
      <c r="U35" s="27">
        <v>0.5</v>
      </c>
      <c r="V35" s="27">
        <f t="shared" ref="V35:V46" si="26">U35/$B35*100</f>
        <v>3.5996187283842893E-2</v>
      </c>
      <c r="W35" s="27">
        <v>2.7</v>
      </c>
      <c r="X35" s="27">
        <f t="shared" ref="X35:X70" si="27">W35/$B35*100</f>
        <v>0.19437941133275163</v>
      </c>
      <c r="Y35" s="30">
        <f t="shared" si="9"/>
        <v>2.5280115599998347</v>
      </c>
      <c r="Z35" s="27">
        <f t="shared" ref="Z35:Z46" si="28">Y35/$B35*100</f>
        <v>0.18199755513894778</v>
      </c>
      <c r="AA35" s="31">
        <v>1.252</v>
      </c>
      <c r="AB35" s="31">
        <f t="shared" ref="AB35:AB46" si="29">AA35/B35*100</f>
        <v>9.0134452958742617E-2</v>
      </c>
      <c r="AC35" s="31">
        <v>4.4029999999999996</v>
      </c>
      <c r="AD35" s="31">
        <f t="shared" ref="AD35:AF46" si="30">AC35/$B35*100</f>
        <v>0.31698242522152048</v>
      </c>
      <c r="AE35" s="31">
        <v>20.146999999999998</v>
      </c>
      <c r="AF35" s="31">
        <f t="shared" si="30"/>
        <v>1.4504303704151655</v>
      </c>
      <c r="AG35" s="31">
        <v>1.2059884400000001</v>
      </c>
      <c r="AH35" s="31">
        <f t="shared" ref="AH35:AH46" si="31">AG35/$B35*100</f>
        <v>8.682197149677906E-2</v>
      </c>
      <c r="AI35" s="27">
        <v>35.9</v>
      </c>
      <c r="CD35" s="10"/>
    </row>
    <row r="36" spans="1:82" hidden="1" x14ac:dyDescent="0.25">
      <c r="A36" s="29" t="s">
        <v>51</v>
      </c>
      <c r="B36" s="27">
        <v>1352.2049999999999</v>
      </c>
      <c r="C36" s="27">
        <v>66.679000000000002</v>
      </c>
      <c r="D36" s="27">
        <f t="shared" si="18"/>
        <v>4.9311310045444294</v>
      </c>
      <c r="E36" s="27">
        <v>373.59500000000003</v>
      </c>
      <c r="F36" s="27">
        <f t="shared" si="19"/>
        <v>27.628577027891481</v>
      </c>
      <c r="G36" s="27">
        <v>52.609000000000002</v>
      </c>
      <c r="H36" s="27">
        <f t="shared" si="20"/>
        <v>3.8906083027351621</v>
      </c>
      <c r="I36" s="27">
        <v>103.095</v>
      </c>
      <c r="J36" s="27">
        <f t="shared" si="21"/>
        <v>7.6242137841525519</v>
      </c>
      <c r="K36" s="27">
        <v>87.283000000000001</v>
      </c>
      <c r="L36" s="27">
        <f t="shared" si="22"/>
        <v>6.4548644621192794</v>
      </c>
      <c r="M36" s="27">
        <v>89.116</v>
      </c>
      <c r="N36" s="27">
        <f t="shared" si="23"/>
        <v>6.590420831160956</v>
      </c>
      <c r="O36" s="27">
        <v>116.051</v>
      </c>
      <c r="P36" s="27">
        <f t="shared" si="24"/>
        <v>8.582352527908121</v>
      </c>
      <c r="Q36" s="27">
        <v>419.262</v>
      </c>
      <c r="R36" s="27">
        <f t="shared" si="25"/>
        <v>31.005801635107105</v>
      </c>
      <c r="S36" s="27"/>
      <c r="T36" s="27"/>
      <c r="U36" s="27">
        <v>0.48199999999999998</v>
      </c>
      <c r="V36" s="27">
        <f t="shared" si="26"/>
        <v>3.5645482748547744E-2</v>
      </c>
      <c r="W36" s="27">
        <v>13.128</v>
      </c>
      <c r="X36" s="27">
        <f t="shared" si="27"/>
        <v>0.97085870855380652</v>
      </c>
      <c r="Y36" s="30">
        <f t="shared" si="9"/>
        <v>3.1936451999997191</v>
      </c>
      <c r="Z36" s="27">
        <f t="shared" si="28"/>
        <v>0.23618054954683051</v>
      </c>
      <c r="AA36" s="31">
        <v>1.1100000000000001</v>
      </c>
      <c r="AB36" s="31">
        <f t="shared" si="29"/>
        <v>8.2088144918854772E-2</v>
      </c>
      <c r="AC36" s="31">
        <v>4.4939999999999998</v>
      </c>
      <c r="AD36" s="31">
        <f t="shared" si="30"/>
        <v>0.33234605699579572</v>
      </c>
      <c r="AE36" s="31">
        <v>20.146999999999998</v>
      </c>
      <c r="AF36" s="31">
        <f t="shared" si="30"/>
        <v>1.4899368069190693</v>
      </c>
      <c r="AG36" s="31">
        <v>1.9603548000000002</v>
      </c>
      <c r="AH36" s="31">
        <f t="shared" si="31"/>
        <v>0.1449746746979933</v>
      </c>
      <c r="AI36" s="27">
        <v>39.799999999999997</v>
      </c>
      <c r="CD36" s="10"/>
    </row>
    <row r="37" spans="1:82" hidden="1" x14ac:dyDescent="0.25">
      <c r="A37" s="29" t="s">
        <v>52</v>
      </c>
      <c r="B37" s="27">
        <v>1395.11</v>
      </c>
      <c r="C37" s="27">
        <v>66.701999999999998</v>
      </c>
      <c r="D37" s="27">
        <f t="shared" si="18"/>
        <v>4.7811283698059652</v>
      </c>
      <c r="E37" s="27">
        <v>390.56799999999998</v>
      </c>
      <c r="F37" s="27">
        <f t="shared" si="19"/>
        <v>27.995498562837341</v>
      </c>
      <c r="G37" s="27">
        <v>46.938000000000002</v>
      </c>
      <c r="H37" s="27">
        <f t="shared" si="20"/>
        <v>3.3644658844105488</v>
      </c>
      <c r="I37" s="27">
        <v>103.00700000000001</v>
      </c>
      <c r="J37" s="27">
        <f t="shared" si="21"/>
        <v>7.383432130799723</v>
      </c>
      <c r="K37" s="27">
        <v>91.784999999999997</v>
      </c>
      <c r="L37" s="27">
        <f t="shared" si="22"/>
        <v>6.5790511142490553</v>
      </c>
      <c r="M37" s="27">
        <v>96.620999999999995</v>
      </c>
      <c r="N37" s="27">
        <f t="shared" si="23"/>
        <v>6.925690447348237</v>
      </c>
      <c r="O37" s="27">
        <v>123.29600000000001</v>
      </c>
      <c r="P37" s="27">
        <f t="shared" si="24"/>
        <v>8.8377260574435006</v>
      </c>
      <c r="Q37" s="27">
        <v>438.59899999999999</v>
      </c>
      <c r="R37" s="27">
        <f t="shared" si="25"/>
        <v>31.438309523980191</v>
      </c>
      <c r="S37" s="27"/>
      <c r="T37" s="27"/>
      <c r="U37" s="27">
        <v>0.47199999999999998</v>
      </c>
      <c r="V37" s="27">
        <f t="shared" si="26"/>
        <v>3.3832457655668731E-2</v>
      </c>
      <c r="W37" s="27">
        <v>6.8</v>
      </c>
      <c r="X37" s="27">
        <f t="shared" si="27"/>
        <v>0.48741676283590546</v>
      </c>
      <c r="Y37" s="30">
        <f t="shared" si="9"/>
        <v>3.5671574700000961</v>
      </c>
      <c r="Z37" s="27">
        <f t="shared" si="28"/>
        <v>0.25569005096373021</v>
      </c>
      <c r="AA37" s="31">
        <v>0.90400000000000003</v>
      </c>
      <c r="AB37" s="31">
        <f t="shared" si="29"/>
        <v>6.4797757882890966E-2</v>
      </c>
      <c r="AC37" s="31">
        <v>4.649</v>
      </c>
      <c r="AD37" s="31">
        <f t="shared" si="30"/>
        <v>0.33323537212119475</v>
      </c>
      <c r="AE37" s="31">
        <v>20.265999999999998</v>
      </c>
      <c r="AF37" s="31">
        <f t="shared" si="30"/>
        <v>1.4526453111224205</v>
      </c>
      <c r="AG37" s="31">
        <v>0.93584252999999995</v>
      </c>
      <c r="AH37" s="31">
        <f t="shared" si="31"/>
        <v>6.7080196543641724E-2</v>
      </c>
      <c r="AI37" s="27">
        <v>51.4</v>
      </c>
      <c r="CD37" s="10"/>
    </row>
    <row r="38" spans="1:82" hidden="1" x14ac:dyDescent="0.25">
      <c r="A38" s="29" t="s">
        <v>53</v>
      </c>
      <c r="B38" s="27">
        <v>1529.2</v>
      </c>
      <c r="C38" s="27">
        <v>64.658000000000001</v>
      </c>
      <c r="D38" s="27">
        <f t="shared" si="18"/>
        <v>4.2282239079257131</v>
      </c>
      <c r="E38" s="27">
        <v>421.24799999999999</v>
      </c>
      <c r="F38" s="27">
        <f t="shared" si="19"/>
        <v>27.546952654982999</v>
      </c>
      <c r="G38" s="27">
        <v>77.519000000000005</v>
      </c>
      <c r="H38" s="27">
        <f t="shared" si="20"/>
        <v>5.0692518964164268</v>
      </c>
      <c r="I38" s="27">
        <v>103.303</v>
      </c>
      <c r="J38" s="27">
        <f t="shared" si="21"/>
        <v>6.7553622809312053</v>
      </c>
      <c r="K38" s="27">
        <v>95.581999999999994</v>
      </c>
      <c r="L38" s="27">
        <f t="shared" si="22"/>
        <v>6.250457755689248</v>
      </c>
      <c r="M38" s="27">
        <v>106.16800000000001</v>
      </c>
      <c r="N38" s="27">
        <f t="shared" si="23"/>
        <v>6.9427151451739473</v>
      </c>
      <c r="O38" s="27">
        <v>125.52</v>
      </c>
      <c r="P38" s="27">
        <f t="shared" si="24"/>
        <v>8.2082134449385293</v>
      </c>
      <c r="Q38" s="27">
        <v>460.32900000000001</v>
      </c>
      <c r="R38" s="27">
        <f t="shared" si="25"/>
        <v>30.102602668061728</v>
      </c>
      <c r="S38" s="27"/>
      <c r="T38" s="27"/>
      <c r="U38" s="27">
        <v>0.495</v>
      </c>
      <c r="V38" s="27">
        <f t="shared" si="26"/>
        <v>3.2369866596913419E-2</v>
      </c>
      <c r="W38" s="27">
        <v>42.38</v>
      </c>
      <c r="X38" s="27">
        <f t="shared" si="27"/>
        <v>2.7713837300549309</v>
      </c>
      <c r="Y38" s="30">
        <f t="shared" si="9"/>
        <v>5.433750370000106</v>
      </c>
      <c r="Z38" s="27">
        <f t="shared" si="28"/>
        <v>0.3553328779754189</v>
      </c>
      <c r="AA38" s="31">
        <v>0.47199999999999998</v>
      </c>
      <c r="AB38" s="31">
        <f t="shared" si="29"/>
        <v>3.0865812189380067E-2</v>
      </c>
      <c r="AC38" s="31">
        <v>4.7140000000000004</v>
      </c>
      <c r="AD38" s="31">
        <f t="shared" si="30"/>
        <v>0.30826575987444416</v>
      </c>
      <c r="AE38" s="31">
        <v>20.265999999999998</v>
      </c>
      <c r="AF38" s="31">
        <f t="shared" si="30"/>
        <v>1.3252681140465601</v>
      </c>
      <c r="AG38" s="31">
        <v>1.11224963</v>
      </c>
      <c r="AH38" s="31">
        <f t="shared" si="31"/>
        <v>7.2734085142558205E-2</v>
      </c>
      <c r="AI38" s="27">
        <v>49.363999999999997</v>
      </c>
      <c r="CD38" s="10"/>
    </row>
    <row r="39" spans="1:82" hidden="1" x14ac:dyDescent="0.25">
      <c r="A39" s="29" t="s">
        <v>54</v>
      </c>
      <c r="B39" s="27">
        <v>1556.8330000000001</v>
      </c>
      <c r="C39" s="27">
        <v>64.430000000000007</v>
      </c>
      <c r="D39" s="27">
        <f t="shared" si="18"/>
        <v>4.1385299515105345</v>
      </c>
      <c r="E39" s="27">
        <v>446.041</v>
      </c>
      <c r="F39" s="27">
        <f t="shared" si="19"/>
        <v>28.65053605621155</v>
      </c>
      <c r="G39" s="27">
        <v>77.28</v>
      </c>
      <c r="H39" s="27">
        <f t="shared" si="20"/>
        <v>4.9639235550633884</v>
      </c>
      <c r="I39" s="27">
        <v>105.392</v>
      </c>
      <c r="J39" s="27">
        <f t="shared" si="21"/>
        <v>6.7696406743690556</v>
      </c>
      <c r="K39" s="27">
        <v>98.644999999999996</v>
      </c>
      <c r="L39" s="27">
        <f t="shared" si="22"/>
        <v>6.3362608577798643</v>
      </c>
      <c r="M39" s="27">
        <v>113.88500000000001</v>
      </c>
      <c r="N39" s="27">
        <f t="shared" si="23"/>
        <v>7.3151712482970241</v>
      </c>
      <c r="O39" s="27">
        <v>131.46299999999999</v>
      </c>
      <c r="P39" s="27">
        <f t="shared" si="24"/>
        <v>8.44425831158512</v>
      </c>
      <c r="Q39" s="27">
        <v>481.26499999999999</v>
      </c>
      <c r="R39" s="27">
        <f t="shared" si="25"/>
        <v>30.913078024425221</v>
      </c>
      <c r="S39" s="27"/>
      <c r="T39" s="27"/>
      <c r="U39" s="27">
        <v>0.49099999999999999</v>
      </c>
      <c r="V39" s="27">
        <f t="shared" si="26"/>
        <v>3.1538385941202424E-2</v>
      </c>
      <c r="W39" s="27">
        <v>4.5739999999999998</v>
      </c>
      <c r="X39" s="27">
        <f t="shared" si="27"/>
        <v>0.29380158308566168</v>
      </c>
      <c r="Y39" s="30">
        <f t="shared" si="9"/>
        <v>5.8785387100001731</v>
      </c>
      <c r="Z39" s="27">
        <f t="shared" si="28"/>
        <v>0.37759597272155543</v>
      </c>
      <c r="AA39" s="31">
        <v>0.52700000000000002</v>
      </c>
      <c r="AB39" s="31">
        <f t="shared" si="29"/>
        <v>3.3850772690455555E-2</v>
      </c>
      <c r="AC39" s="31">
        <v>4.8339999999999996</v>
      </c>
      <c r="AD39" s="31">
        <f t="shared" si="30"/>
        <v>0.31050215405248988</v>
      </c>
      <c r="AE39" s="31">
        <v>20.231000000000002</v>
      </c>
      <c r="AF39" s="31">
        <f t="shared" si="30"/>
        <v>1.2994971201150027</v>
      </c>
      <c r="AG39" s="31">
        <v>1.89646129</v>
      </c>
      <c r="AH39" s="31">
        <f t="shared" si="31"/>
        <v>0.12181533215187498</v>
      </c>
      <c r="AI39" s="27">
        <v>46.438000000000002</v>
      </c>
      <c r="CD39" s="10"/>
    </row>
    <row r="40" spans="1:82" hidden="1" x14ac:dyDescent="0.25">
      <c r="A40" s="29" t="s">
        <v>55</v>
      </c>
      <c r="B40" s="27">
        <v>1660.51</v>
      </c>
      <c r="C40" s="27">
        <v>63.1</v>
      </c>
      <c r="D40" s="27">
        <f t="shared" si="18"/>
        <v>3.8000373379262999</v>
      </c>
      <c r="E40" s="27">
        <v>466.18900000000002</v>
      </c>
      <c r="F40" s="27">
        <f t="shared" si="19"/>
        <v>28.075049231862504</v>
      </c>
      <c r="G40" s="27">
        <v>64.932000000000002</v>
      </c>
      <c r="H40" s="27">
        <f t="shared" si="20"/>
        <v>3.9103648878958874</v>
      </c>
      <c r="I40" s="27">
        <v>113.411</v>
      </c>
      <c r="J40" s="27">
        <f t="shared" si="21"/>
        <v>6.8298896122275687</v>
      </c>
      <c r="K40" s="27">
        <v>106.578</v>
      </c>
      <c r="L40" s="27">
        <f t="shared" si="22"/>
        <v>6.4183895309272456</v>
      </c>
      <c r="M40" s="27">
        <v>122.74299999999999</v>
      </c>
      <c r="N40" s="27">
        <f t="shared" si="23"/>
        <v>7.3918856255005991</v>
      </c>
      <c r="O40" s="27">
        <v>160.13800000000001</v>
      </c>
      <c r="P40" s="27">
        <f t="shared" si="24"/>
        <v>9.6439045835315671</v>
      </c>
      <c r="Q40" s="27">
        <v>519.51400000000001</v>
      </c>
      <c r="R40" s="27">
        <f t="shared" si="25"/>
        <v>31.28641200594998</v>
      </c>
      <c r="S40" s="27"/>
      <c r="T40" s="27"/>
      <c r="U40" s="27">
        <v>0.52500000000000002</v>
      </c>
      <c r="V40" s="27">
        <f t="shared" si="26"/>
        <v>3.1616792431241006E-2</v>
      </c>
      <c r="W40" s="27">
        <v>7.6520000000000001</v>
      </c>
      <c r="X40" s="27">
        <f t="shared" si="27"/>
        <v>0.46082227749305937</v>
      </c>
      <c r="Y40" s="30">
        <f t="shared" si="9"/>
        <v>6.1746706499999302</v>
      </c>
      <c r="Z40" s="27">
        <f t="shared" si="28"/>
        <v>0.37185386718537861</v>
      </c>
      <c r="AA40" s="31">
        <v>0.35299999999999998</v>
      </c>
      <c r="AB40" s="31">
        <f t="shared" si="29"/>
        <v>2.1258529006148712E-2</v>
      </c>
      <c r="AC40" s="31">
        <v>5.3159999999999998</v>
      </c>
      <c r="AD40" s="31">
        <f t="shared" si="30"/>
        <v>0.32014260678948031</v>
      </c>
      <c r="AE40" s="31">
        <v>20.23</v>
      </c>
      <c r="AF40" s="31">
        <f t="shared" si="30"/>
        <v>1.2183004016838199</v>
      </c>
      <c r="AG40" s="31">
        <v>3.6543293499999998</v>
      </c>
      <c r="AH40" s="31">
        <f t="shared" si="31"/>
        <v>0.22007270958922259</v>
      </c>
      <c r="AI40" s="27">
        <v>59.539000000000001</v>
      </c>
      <c r="CD40" s="10"/>
    </row>
    <row r="41" spans="1:82" hidden="1" x14ac:dyDescent="0.25">
      <c r="A41" s="29" t="s">
        <v>56</v>
      </c>
      <c r="B41" s="27">
        <v>1785.02</v>
      </c>
      <c r="C41" s="27">
        <v>63.52</v>
      </c>
      <c r="D41" s="27">
        <f t="shared" si="18"/>
        <v>3.5585035461787546</v>
      </c>
      <c r="E41" s="27">
        <v>476.77499999999998</v>
      </c>
      <c r="F41" s="27">
        <f t="shared" si="19"/>
        <v>26.709784764316364</v>
      </c>
      <c r="G41" s="27">
        <v>79.688000000000002</v>
      </c>
      <c r="H41" s="27">
        <f t="shared" si="20"/>
        <v>4.4642637057287873</v>
      </c>
      <c r="I41" s="27">
        <v>118.307</v>
      </c>
      <c r="J41" s="27">
        <f t="shared" si="21"/>
        <v>6.6277688765391991</v>
      </c>
      <c r="K41" s="27">
        <v>114.64100000000001</v>
      </c>
      <c r="L41" s="27">
        <f t="shared" si="22"/>
        <v>6.4223930264086686</v>
      </c>
      <c r="M41" s="27">
        <v>131.685</v>
      </c>
      <c r="N41" s="27">
        <f t="shared" si="23"/>
        <v>7.3772282663499569</v>
      </c>
      <c r="O41" s="27">
        <v>175.23099999999999</v>
      </c>
      <c r="P41" s="27">
        <f t="shared" si="24"/>
        <v>9.8167527534705492</v>
      </c>
      <c r="Q41" s="27">
        <v>555.27200000000005</v>
      </c>
      <c r="R41" s="27">
        <f t="shared" si="25"/>
        <v>31.107326528554307</v>
      </c>
      <c r="S41" s="27"/>
      <c r="T41" s="27"/>
      <c r="U41" s="27">
        <v>7.6999999999999999E-2</v>
      </c>
      <c r="V41" s="27">
        <f t="shared" si="26"/>
        <v>4.3136771576789057E-3</v>
      </c>
      <c r="W41" s="27">
        <v>30.827000000000002</v>
      </c>
      <c r="X41" s="27">
        <f t="shared" si="27"/>
        <v>1.7269834511658133</v>
      </c>
      <c r="Y41" s="30">
        <f t="shared" si="9"/>
        <v>8.0477543999997323</v>
      </c>
      <c r="Z41" s="27">
        <f t="shared" si="28"/>
        <v>0.45084953669985395</v>
      </c>
      <c r="AA41" s="31">
        <v>0.436</v>
      </c>
      <c r="AB41" s="31">
        <f t="shared" si="29"/>
        <v>2.4425496633090946E-2</v>
      </c>
      <c r="AC41" s="31">
        <v>5.6319999999999997</v>
      </c>
      <c r="AD41" s="31">
        <f t="shared" si="30"/>
        <v>0.31551467210451423</v>
      </c>
      <c r="AE41" s="31">
        <v>20.210999999999999</v>
      </c>
      <c r="AF41" s="31">
        <f t="shared" si="30"/>
        <v>1.1322562212188099</v>
      </c>
      <c r="AG41" s="31">
        <v>4.6702456000000003</v>
      </c>
      <c r="AH41" s="31">
        <f t="shared" si="31"/>
        <v>0.2616354774736418</v>
      </c>
      <c r="AI41" s="27">
        <v>39.039000000000001</v>
      </c>
      <c r="CD41" s="10"/>
    </row>
    <row r="42" spans="1:82" hidden="1" x14ac:dyDescent="0.25">
      <c r="A42" s="29" t="s">
        <v>57</v>
      </c>
      <c r="B42" s="27">
        <v>1876.88</v>
      </c>
      <c r="C42" s="27">
        <v>63.53</v>
      </c>
      <c r="D42" s="27">
        <f t="shared" si="18"/>
        <v>3.3848727675717143</v>
      </c>
      <c r="E42" s="27">
        <v>536.28499999999997</v>
      </c>
      <c r="F42" s="27">
        <f t="shared" si="19"/>
        <v>28.573217254166483</v>
      </c>
      <c r="G42" s="27">
        <v>71.680999999999997</v>
      </c>
      <c r="H42" s="27">
        <f t="shared" si="20"/>
        <v>3.8191573249222106</v>
      </c>
      <c r="I42" s="27">
        <v>122.85599999999999</v>
      </c>
      <c r="J42" s="27">
        <f t="shared" si="21"/>
        <v>6.5457567878607046</v>
      </c>
      <c r="K42" s="27">
        <v>129.077</v>
      </c>
      <c r="L42" s="27">
        <f t="shared" si="22"/>
        <v>6.8772111163207015</v>
      </c>
      <c r="M42" s="27">
        <v>141.48500000000001</v>
      </c>
      <c r="N42" s="27">
        <f t="shared" si="23"/>
        <v>7.5383082562550623</v>
      </c>
      <c r="O42" s="27">
        <v>176.12799999999999</v>
      </c>
      <c r="P42" s="27">
        <f t="shared" si="24"/>
        <v>9.3840842248838481</v>
      </c>
      <c r="Q42" s="27">
        <v>590.53300000000002</v>
      </c>
      <c r="R42" s="27">
        <f t="shared" si="25"/>
        <v>31.463545884659649</v>
      </c>
      <c r="S42" s="27"/>
      <c r="T42" s="27"/>
      <c r="U42" s="27">
        <v>0.1</v>
      </c>
      <c r="V42" s="27">
        <f t="shared" si="26"/>
        <v>5.3279911342227534E-3</v>
      </c>
      <c r="W42" s="27">
        <v>3.9489999999999998</v>
      </c>
      <c r="X42" s="27">
        <f t="shared" si="27"/>
        <v>0.21040236989045649</v>
      </c>
      <c r="Y42" s="30">
        <f t="shared" si="9"/>
        <v>7.9319849600001131</v>
      </c>
      <c r="Z42" s="27">
        <f t="shared" si="28"/>
        <v>0.42261545543668816</v>
      </c>
      <c r="AA42" s="31">
        <v>0.28799999999999998</v>
      </c>
      <c r="AB42" s="31">
        <f t="shared" si="29"/>
        <v>1.5344614466561525E-2</v>
      </c>
      <c r="AC42" s="31">
        <v>6.4029999999999996</v>
      </c>
      <c r="AD42" s="31">
        <f t="shared" si="30"/>
        <v>0.34115127232428283</v>
      </c>
      <c r="AE42" s="31">
        <v>20.210999999999999</v>
      </c>
      <c r="AF42" s="31">
        <f t="shared" si="30"/>
        <v>1.0768402881377603</v>
      </c>
      <c r="AG42" s="31">
        <v>6.4220150399999998</v>
      </c>
      <c r="AH42" s="31">
        <f t="shared" si="31"/>
        <v>0.3421643919696517</v>
      </c>
      <c r="AI42" s="27">
        <v>43.81</v>
      </c>
      <c r="CD42" s="10"/>
    </row>
    <row r="43" spans="1:82" hidden="1" x14ac:dyDescent="0.25">
      <c r="A43" s="29" t="s">
        <v>58</v>
      </c>
      <c r="B43" s="27">
        <v>2015.15</v>
      </c>
      <c r="C43" s="27">
        <v>68.180000000000007</v>
      </c>
      <c r="D43" s="27">
        <f t="shared" si="18"/>
        <v>3.3833709649405757</v>
      </c>
      <c r="E43" s="27">
        <v>567.26300000000003</v>
      </c>
      <c r="F43" s="27">
        <f t="shared" si="19"/>
        <v>28.149914398431878</v>
      </c>
      <c r="G43" s="27">
        <v>76.590999999999994</v>
      </c>
      <c r="H43" s="27">
        <f t="shared" si="20"/>
        <v>3.8007592486911643</v>
      </c>
      <c r="I43" s="27">
        <v>127.982</v>
      </c>
      <c r="J43" s="27">
        <f t="shared" si="21"/>
        <v>6.3509912413467982</v>
      </c>
      <c r="K43" s="27">
        <v>137.58600000000001</v>
      </c>
      <c r="L43" s="27">
        <f t="shared" si="22"/>
        <v>6.8275810733692284</v>
      </c>
      <c r="M43" s="27">
        <v>161.184</v>
      </c>
      <c r="N43" s="27">
        <f t="shared" si="23"/>
        <v>7.9986105252710713</v>
      </c>
      <c r="O43" s="27">
        <v>202.655</v>
      </c>
      <c r="P43" s="27">
        <f t="shared" si="24"/>
        <v>10.05657147110637</v>
      </c>
      <c r="Q43" s="27">
        <v>622.97500000000002</v>
      </c>
      <c r="R43" s="27">
        <f t="shared" si="25"/>
        <v>30.914572116219635</v>
      </c>
      <c r="S43" s="27"/>
      <c r="T43" s="27"/>
      <c r="U43" s="27">
        <v>0.32700000000000001</v>
      </c>
      <c r="V43" s="27">
        <f t="shared" si="26"/>
        <v>1.6227079869984864E-2</v>
      </c>
      <c r="W43" s="27">
        <v>7.2119999999999997</v>
      </c>
      <c r="X43" s="27">
        <f t="shared" si="27"/>
        <v>0.35788899089397808</v>
      </c>
      <c r="Y43" s="30">
        <f t="shared" si="9"/>
        <v>9.8651193400000494</v>
      </c>
      <c r="Z43" s="27">
        <f t="shared" si="28"/>
        <v>0.48954764359973441</v>
      </c>
      <c r="AA43" s="31">
        <v>0.11</v>
      </c>
      <c r="AB43" s="31">
        <f t="shared" si="29"/>
        <v>5.4586507207900151E-3</v>
      </c>
      <c r="AC43" s="31">
        <v>7.6849999999999996</v>
      </c>
      <c r="AD43" s="31">
        <f t="shared" si="30"/>
        <v>0.38136118899337512</v>
      </c>
      <c r="AE43" s="31">
        <v>20.178999999999998</v>
      </c>
      <c r="AF43" s="31">
        <f t="shared" si="30"/>
        <v>1.0013646626801975</v>
      </c>
      <c r="AG43" s="31">
        <v>5.3558806600000004</v>
      </c>
      <c r="AH43" s="31">
        <f t="shared" si="31"/>
        <v>0.26578074386522094</v>
      </c>
      <c r="AI43" s="27">
        <v>57.1</v>
      </c>
      <c r="CD43" s="10"/>
    </row>
    <row r="44" spans="1:82" hidden="1" x14ac:dyDescent="0.25">
      <c r="A44" s="29" t="s">
        <v>59</v>
      </c>
      <c r="B44" s="27">
        <v>2159.9029999999998</v>
      </c>
      <c r="C44" s="27">
        <v>78.813999999999993</v>
      </c>
      <c r="D44" s="27">
        <f t="shared" si="18"/>
        <v>3.6489601616368885</v>
      </c>
      <c r="E44" s="27">
        <v>583.89599999999996</v>
      </c>
      <c r="F44" s="27">
        <f t="shared" si="19"/>
        <v>27.033436223756347</v>
      </c>
      <c r="G44" s="27">
        <v>100.342</v>
      </c>
      <c r="H44" s="27">
        <f t="shared" si="20"/>
        <v>4.6456715880296473</v>
      </c>
      <c r="I44" s="27">
        <v>133.55500000000001</v>
      </c>
      <c r="J44" s="27">
        <f t="shared" si="21"/>
        <v>6.1833795313956239</v>
      </c>
      <c r="K44" s="27">
        <v>144.43600000000001</v>
      </c>
      <c r="L44" s="27">
        <f t="shared" si="22"/>
        <v>6.6871521545180519</v>
      </c>
      <c r="M44" s="27">
        <v>173.816</v>
      </c>
      <c r="N44" s="27">
        <f t="shared" si="23"/>
        <v>8.0473984248366719</v>
      </c>
      <c r="O44" s="27">
        <v>200.25399999999999</v>
      </c>
      <c r="P44" s="27">
        <f t="shared" si="24"/>
        <v>9.2714348746216846</v>
      </c>
      <c r="Q44" s="27">
        <v>682.53099999999995</v>
      </c>
      <c r="R44" s="27">
        <f t="shared" si="25"/>
        <v>31.600076484916222</v>
      </c>
      <c r="S44" s="27"/>
      <c r="T44" s="27"/>
      <c r="U44" s="27">
        <v>0.65400000000000003</v>
      </c>
      <c r="V44" s="27">
        <f t="shared" si="26"/>
        <v>3.0279137535343024E-2</v>
      </c>
      <c r="W44" s="27">
        <v>16.132000000000001</v>
      </c>
      <c r="X44" s="27">
        <f t="shared" si="27"/>
        <v>0.74688539253846131</v>
      </c>
      <c r="Y44" s="30">
        <f t="shared" si="9"/>
        <v>10.571999999999949</v>
      </c>
      <c r="Z44" s="27">
        <f t="shared" si="28"/>
        <v>0.48946642511260696</v>
      </c>
      <c r="AA44" s="31">
        <v>0.443</v>
      </c>
      <c r="AB44" s="31">
        <f t="shared" si="29"/>
        <v>2.0510180318282816E-2</v>
      </c>
      <c r="AC44" s="31">
        <v>8.6539999999999999</v>
      </c>
      <c r="AD44" s="31">
        <f t="shared" si="30"/>
        <v>0.40066614102577758</v>
      </c>
      <c r="AE44" s="31">
        <v>20.178999999999998</v>
      </c>
      <c r="AF44" s="31">
        <f t="shared" si="30"/>
        <v>0.93425491792918469</v>
      </c>
      <c r="AG44" s="31">
        <v>5.625</v>
      </c>
      <c r="AH44" s="31">
        <f t="shared" si="31"/>
        <v>0.26042836182921181</v>
      </c>
      <c r="AI44" s="27">
        <v>42.988</v>
      </c>
      <c r="CD44" s="10"/>
    </row>
    <row r="45" spans="1:82" hidden="1" x14ac:dyDescent="0.25">
      <c r="A45" s="29" t="s">
        <v>60</v>
      </c>
      <c r="B45" s="27">
        <v>2242.0309999999999</v>
      </c>
      <c r="C45" s="27">
        <v>80.216999999999999</v>
      </c>
      <c r="D45" s="27">
        <f t="shared" si="18"/>
        <v>3.5778720276392257</v>
      </c>
      <c r="E45" s="27">
        <v>610.471</v>
      </c>
      <c r="F45" s="27">
        <f t="shared" si="19"/>
        <v>27.228481675766304</v>
      </c>
      <c r="G45" s="27">
        <v>91.593000000000004</v>
      </c>
      <c r="H45" s="27">
        <f t="shared" si="20"/>
        <v>4.0852691153690568</v>
      </c>
      <c r="I45" s="27">
        <v>136.77099999999999</v>
      </c>
      <c r="J45" s="27">
        <f t="shared" si="21"/>
        <v>6.1003170785774143</v>
      </c>
      <c r="K45" s="27">
        <v>143.721</v>
      </c>
      <c r="L45" s="27">
        <f t="shared" si="22"/>
        <v>6.4103038718019523</v>
      </c>
      <c r="M45" s="27">
        <v>181.40100000000001</v>
      </c>
      <c r="N45" s="27">
        <f t="shared" si="23"/>
        <v>8.0909229176581423</v>
      </c>
      <c r="O45" s="27">
        <v>199.58600000000001</v>
      </c>
      <c r="P45" s="27">
        <f t="shared" si="24"/>
        <v>8.9020178579154354</v>
      </c>
      <c r="Q45" s="27">
        <v>720.56</v>
      </c>
      <c r="R45" s="27">
        <f t="shared" si="25"/>
        <v>32.138717082859245</v>
      </c>
      <c r="S45" s="27"/>
      <c r="T45" s="27"/>
      <c r="U45" s="27">
        <v>1.2</v>
      </c>
      <c r="V45" s="27">
        <f t="shared" si="26"/>
        <v>5.3522899549560195E-2</v>
      </c>
      <c r="W45" s="27">
        <v>27.911999999999999</v>
      </c>
      <c r="X45" s="27">
        <f t="shared" si="27"/>
        <v>1.2449426435227702</v>
      </c>
      <c r="Y45" s="30">
        <f t="shared" si="9"/>
        <v>10.53999999999975</v>
      </c>
      <c r="Z45" s="27">
        <f t="shared" si="28"/>
        <v>0.47010946771029261</v>
      </c>
      <c r="AA45" s="31">
        <v>2.4900000000000002</v>
      </c>
      <c r="AB45" s="31">
        <f t="shared" si="29"/>
        <v>0.11106001656533743</v>
      </c>
      <c r="AC45" s="31">
        <v>10.992000000000001</v>
      </c>
      <c r="AD45" s="31">
        <f t="shared" si="30"/>
        <v>0.49026975987397148</v>
      </c>
      <c r="AE45" s="31">
        <v>20.178999999999998</v>
      </c>
      <c r="AF45" s="31">
        <f t="shared" si="30"/>
        <v>0.90003215834214589</v>
      </c>
      <c r="AG45" s="31">
        <v>4.3979999999999997</v>
      </c>
      <c r="AH45" s="31">
        <f t="shared" si="31"/>
        <v>0.19616142684913809</v>
      </c>
      <c r="AI45" s="27">
        <v>38.201799999999999</v>
      </c>
      <c r="CD45" s="10"/>
    </row>
    <row r="46" spans="1:82" hidden="1" x14ac:dyDescent="0.25">
      <c r="A46" s="29" t="s">
        <v>61</v>
      </c>
      <c r="B46" s="27">
        <v>2362.721</v>
      </c>
      <c r="C46" s="27">
        <v>77.655000000000001</v>
      </c>
      <c r="D46" s="27">
        <f t="shared" si="18"/>
        <v>3.2866766749015222</v>
      </c>
      <c r="E46" s="27">
        <v>647.19000000000005</v>
      </c>
      <c r="F46" s="27">
        <f t="shared" si="19"/>
        <v>27.391723356249003</v>
      </c>
      <c r="G46" s="27">
        <v>92.158000000000001</v>
      </c>
      <c r="H46" s="27">
        <f t="shared" si="20"/>
        <v>3.9005028524315826</v>
      </c>
      <c r="I46" s="27">
        <v>136.48699999999999</v>
      </c>
      <c r="J46" s="27">
        <f t="shared" si="21"/>
        <v>5.7766871331824623</v>
      </c>
      <c r="K46" s="27">
        <v>152.53100000000001</v>
      </c>
      <c r="L46" s="27">
        <f t="shared" si="22"/>
        <v>6.4557347228047668</v>
      </c>
      <c r="M46" s="27">
        <v>192.57599999999999</v>
      </c>
      <c r="N46" s="27">
        <f t="shared" si="23"/>
        <v>8.150602631457545</v>
      </c>
      <c r="O46" s="27">
        <v>214.85300000000001</v>
      </c>
      <c r="P46" s="27">
        <f t="shared" si="24"/>
        <v>9.0934562311842999</v>
      </c>
      <c r="Q46" s="27">
        <v>778</v>
      </c>
      <c r="R46" s="27">
        <f t="shared" si="25"/>
        <v>32.928136669543292</v>
      </c>
      <c r="S46" s="32">
        <v>63.300899999999999</v>
      </c>
      <c r="T46" s="27">
        <f>S46/$B46*100</f>
        <v>2.6791525533484486</v>
      </c>
      <c r="U46" s="27">
        <v>1.2170000000000001</v>
      </c>
      <c r="V46" s="27">
        <f t="shared" si="26"/>
        <v>5.1508409160455258E-2</v>
      </c>
      <c r="W46" s="27">
        <v>18.163</v>
      </c>
      <c r="X46" s="27">
        <f>W46/$B46*100</f>
        <v>0.76873232175953066</v>
      </c>
      <c r="Y46" s="30">
        <f t="shared" si="9"/>
        <v>10.403999999999719</v>
      </c>
      <c r="Z46" s="27">
        <f t="shared" si="28"/>
        <v>0.44033976080966475</v>
      </c>
      <c r="AA46" s="31">
        <v>2.0459999999999998</v>
      </c>
      <c r="AB46" s="31">
        <f t="shared" si="29"/>
        <v>8.659507406926166E-2</v>
      </c>
      <c r="AC46" s="31">
        <v>13.151</v>
      </c>
      <c r="AD46" s="31">
        <f t="shared" si="30"/>
        <v>0.55660401714802554</v>
      </c>
      <c r="AE46" s="31">
        <v>20.363</v>
      </c>
      <c r="AF46" s="31">
        <f t="shared" si="30"/>
        <v>0.86184530462970443</v>
      </c>
      <c r="AG46" s="31">
        <v>5.9269999999999996</v>
      </c>
      <c r="AH46" s="31">
        <f t="shared" si="31"/>
        <v>0.25085484066887287</v>
      </c>
      <c r="AI46" s="27">
        <v>47.094000000000001</v>
      </c>
      <c r="CD46" s="10"/>
    </row>
    <row r="47" spans="1:82" x14ac:dyDescent="0.25">
      <c r="A47" s="28">
        <v>2007</v>
      </c>
      <c r="B47" s="27">
        <f>+B59</f>
        <v>4681.7733614700001</v>
      </c>
      <c r="C47" s="27">
        <f t="shared" ref="C47:AI47" si="32">+C59</f>
        <v>100.26732249</v>
      </c>
      <c r="D47" s="27">
        <f t="shared" si="32"/>
        <v>2.1416526334909496</v>
      </c>
      <c r="E47" s="27">
        <f t="shared" si="32"/>
        <v>1194.0235843999999</v>
      </c>
      <c r="F47" s="27">
        <f t="shared" si="32"/>
        <v>25.50366051946385</v>
      </c>
      <c r="G47" s="27">
        <f t="shared" si="32"/>
        <v>302.04128283</v>
      </c>
      <c r="H47" s="27">
        <f t="shared" si="32"/>
        <v>6.4514289674023004</v>
      </c>
      <c r="I47" s="27">
        <f t="shared" si="32"/>
        <v>197.23936623999998</v>
      </c>
      <c r="J47" s="27">
        <f t="shared" si="32"/>
        <v>4.2129199987175383</v>
      </c>
      <c r="K47" s="27">
        <f t="shared" si="32"/>
        <v>312.34511679000002</v>
      </c>
      <c r="L47" s="27">
        <f t="shared" si="32"/>
        <v>6.6715129647354123</v>
      </c>
      <c r="M47" s="27">
        <f t="shared" si="32"/>
        <v>308.04767585999997</v>
      </c>
      <c r="N47" s="27">
        <f t="shared" si="32"/>
        <v>6.5797220855491831</v>
      </c>
      <c r="O47" s="27">
        <f t="shared" si="32"/>
        <v>469.63488959999989</v>
      </c>
      <c r="P47" s="27">
        <f t="shared" si="32"/>
        <v>10.031132507715885</v>
      </c>
      <c r="Q47" s="27">
        <f t="shared" si="32"/>
        <v>1657.21590305</v>
      </c>
      <c r="R47" s="27">
        <f t="shared" si="32"/>
        <v>35.397183398251073</v>
      </c>
      <c r="S47" s="27">
        <f t="shared" si="32"/>
        <v>171.5556</v>
      </c>
      <c r="T47" s="27">
        <f t="shared" si="32"/>
        <v>3.6643294485774587</v>
      </c>
      <c r="U47" s="27">
        <f t="shared" si="32"/>
        <v>3.0617016499999998</v>
      </c>
      <c r="V47" s="27">
        <f t="shared" si="32"/>
        <v>6.5396195279275024E-2</v>
      </c>
      <c r="W47" s="27">
        <f t="shared" si="32"/>
        <v>64.761847590000002</v>
      </c>
      <c r="X47" s="27">
        <f t="shared" si="32"/>
        <v>1.383276006544363</v>
      </c>
      <c r="Y47" s="27">
        <f t="shared" si="9"/>
        <v>28.091952210000819</v>
      </c>
      <c r="Z47" s="27">
        <f t="shared" si="32"/>
        <v>0.60002802444884706</v>
      </c>
      <c r="AA47" s="27">
        <f t="shared" si="32"/>
        <v>12.78481955</v>
      </c>
      <c r="AB47" s="27">
        <f t="shared" si="32"/>
        <v>0.27307642986771524</v>
      </c>
      <c r="AC47" s="27">
        <f t="shared" si="32"/>
        <v>17.374851060000001</v>
      </c>
      <c r="AD47" s="27">
        <f t="shared" si="32"/>
        <v>0.3711168764167726</v>
      </c>
      <c r="AE47" s="27">
        <f t="shared" si="32"/>
        <v>9.7083710199999995</v>
      </c>
      <c r="AF47" s="27">
        <f t="shared" si="32"/>
        <v>0.20736524967008932</v>
      </c>
      <c r="AG47" s="27">
        <f t="shared" si="32"/>
        <v>5.1746771300000001</v>
      </c>
      <c r="AH47" s="27">
        <f t="shared" si="32"/>
        <v>0.11052814244675946</v>
      </c>
      <c r="AI47" s="27">
        <f t="shared" si="32"/>
        <v>111.54229775</v>
      </c>
      <c r="CD47" s="10"/>
    </row>
    <row r="48" spans="1:82" hidden="1" x14ac:dyDescent="0.25">
      <c r="A48" s="29" t="s">
        <v>50</v>
      </c>
      <c r="B48" s="27">
        <v>2500.8557842800001</v>
      </c>
      <c r="C48" s="27">
        <v>104.03176046999999</v>
      </c>
      <c r="D48" s="27">
        <f t="shared" ref="D48:R50" si="33">C48/$B48*100</f>
        <v>4.1598464463216089</v>
      </c>
      <c r="E48" s="27">
        <v>644.63155166000001</v>
      </c>
      <c r="F48" s="27">
        <f t="shared" si="33"/>
        <v>25.77643843807612</v>
      </c>
      <c r="G48" s="27">
        <v>170.92006280999999</v>
      </c>
      <c r="H48" s="27">
        <f t="shared" si="33"/>
        <v>6.8344629820071017</v>
      </c>
      <c r="I48" s="27">
        <v>139.78622041</v>
      </c>
      <c r="J48" s="27">
        <f t="shared" si="33"/>
        <v>5.5895354417745704</v>
      </c>
      <c r="K48" s="27">
        <v>163.96990049999999</v>
      </c>
      <c r="L48" s="27">
        <f t="shared" si="33"/>
        <v>6.5565516224761904</v>
      </c>
      <c r="M48" s="27">
        <v>192.60703863999998</v>
      </c>
      <c r="N48" s="27">
        <f t="shared" si="33"/>
        <v>7.7016451668544263</v>
      </c>
      <c r="O48" s="27">
        <v>220.30830121999998</v>
      </c>
      <c r="P48" s="27">
        <f t="shared" si="33"/>
        <v>8.8093164989690536</v>
      </c>
      <c r="Q48" s="27">
        <v>806.62555090000001</v>
      </c>
      <c r="R48" s="27">
        <f t="shared" si="33"/>
        <v>32.253981056017942</v>
      </c>
      <c r="S48" s="27"/>
      <c r="T48" s="27"/>
      <c r="U48" s="27">
        <v>1.4630000000000001</v>
      </c>
      <c r="V48" s="27">
        <f t="shared" ref="V48:V59" si="34">U48/$B48*100</f>
        <v>5.8499974656523422E-2</v>
      </c>
      <c r="W48" s="27">
        <v>2.7789999999999999</v>
      </c>
      <c r="X48" s="27">
        <f t="shared" si="27"/>
        <v>0.11112196142889855</v>
      </c>
      <c r="Y48" s="30">
        <f t="shared" si="9"/>
        <v>10.863397670000355</v>
      </c>
      <c r="Z48" s="27">
        <f t="shared" ref="Z48:Z59" si="35">Y48/$B48*100</f>
        <v>0.43438721010167891</v>
      </c>
      <c r="AA48" s="31">
        <v>3.65</v>
      </c>
      <c r="AB48" s="31">
        <f t="shared" ref="AB48:AB59" si="36">AA48/B48*100</f>
        <v>0.14595003930028058</v>
      </c>
      <c r="AC48" s="31">
        <v>13.888</v>
      </c>
      <c r="AD48" s="31">
        <f t="shared" ref="AD48:AF59" si="37">AC48/$B48*100</f>
        <v>0.55532990295953333</v>
      </c>
      <c r="AE48" s="31">
        <v>20.344999999999999</v>
      </c>
      <c r="AF48" s="31">
        <f t="shared" si="37"/>
        <v>0.81352152042855008</v>
      </c>
      <c r="AG48" s="31">
        <v>4.9870000000000001</v>
      </c>
      <c r="AH48" s="31">
        <f t="shared" ref="AH48:AH59" si="38">AG48/$B48*100</f>
        <v>0.19941173862753403</v>
      </c>
      <c r="AI48" s="27">
        <v>41.551000000000002</v>
      </c>
      <c r="CC48" s="2">
        <f>CC50+CC51</f>
        <v>965</v>
      </c>
      <c r="CD48" s="10">
        <f t="shared" ref="CD48:CD55" si="39">BY48+BZ48+CA48+CC48</f>
        <v>965</v>
      </c>
    </row>
    <row r="49" spans="1:82" hidden="1" x14ac:dyDescent="0.25">
      <c r="A49" s="29" t="s">
        <v>51</v>
      </c>
      <c r="B49" s="27">
        <v>2663.49710117</v>
      </c>
      <c r="C49" s="27">
        <v>129.88478082</v>
      </c>
      <c r="D49" s="27">
        <f t="shared" si="33"/>
        <v>4.8764753963105587</v>
      </c>
      <c r="E49" s="27">
        <v>673.54309951000005</v>
      </c>
      <c r="F49" s="27">
        <f t="shared" si="33"/>
        <v>25.287923129863042</v>
      </c>
      <c r="G49" s="27">
        <v>239.73402787000001</v>
      </c>
      <c r="H49" s="27">
        <f t="shared" si="33"/>
        <v>9.0007241894384471</v>
      </c>
      <c r="I49" s="27">
        <v>133.10883286000001</v>
      </c>
      <c r="J49" s="27">
        <f t="shared" si="33"/>
        <v>4.997521221311974</v>
      </c>
      <c r="K49" s="27">
        <v>172.05884362</v>
      </c>
      <c r="L49" s="27">
        <f t="shared" si="33"/>
        <v>6.4598847712062213</v>
      </c>
      <c r="M49" s="27">
        <v>189.29286172000002</v>
      </c>
      <c r="N49" s="27">
        <f t="shared" si="33"/>
        <v>7.1069295189714667</v>
      </c>
      <c r="O49" s="27">
        <v>220.88417112000002</v>
      </c>
      <c r="P49" s="27">
        <f t="shared" si="33"/>
        <v>8.2930133854086705</v>
      </c>
      <c r="Q49" s="27">
        <v>841.29791412999998</v>
      </c>
      <c r="R49" s="27">
        <f t="shared" si="33"/>
        <v>31.586214746035999</v>
      </c>
      <c r="S49" s="27"/>
      <c r="T49" s="27"/>
      <c r="U49" s="27">
        <v>1.99</v>
      </c>
      <c r="V49" s="27">
        <f t="shared" si="34"/>
        <v>7.4713803860565448E-2</v>
      </c>
      <c r="W49" s="27">
        <v>7.1180000000000003</v>
      </c>
      <c r="X49" s="27">
        <f t="shared" si="27"/>
        <v>0.2672426411454798</v>
      </c>
      <c r="Y49" s="30">
        <f t="shared" si="9"/>
        <v>11.121569519999841</v>
      </c>
      <c r="Z49" s="27">
        <f t="shared" si="35"/>
        <v>0.41755515765774426</v>
      </c>
      <c r="AA49" s="31">
        <v>3.677</v>
      </c>
      <c r="AB49" s="31">
        <f t="shared" si="36"/>
        <v>0.13805158632929604</v>
      </c>
      <c r="AC49" s="31">
        <v>14.538</v>
      </c>
      <c r="AD49" s="31">
        <f t="shared" si="37"/>
        <v>0.54582375905773883</v>
      </c>
      <c r="AE49" s="31">
        <v>20.323</v>
      </c>
      <c r="AF49" s="31">
        <f t="shared" si="37"/>
        <v>0.76301941500415649</v>
      </c>
      <c r="AG49" s="31">
        <v>4.9249999999999998</v>
      </c>
      <c r="AH49" s="31">
        <f t="shared" si="38"/>
        <v>0.18490727839863558</v>
      </c>
      <c r="AI49" s="27">
        <v>44.545000000000002</v>
      </c>
      <c r="CD49" s="10"/>
    </row>
    <row r="50" spans="1:82" hidden="1" x14ac:dyDescent="0.25">
      <c r="A50" s="29" t="s">
        <v>52</v>
      </c>
      <c r="B50" s="27">
        <v>2880.8536487800002</v>
      </c>
      <c r="C50" s="27">
        <v>130.48997767</v>
      </c>
      <c r="D50" s="27">
        <f t="shared" si="33"/>
        <v>4.5295594146290847</v>
      </c>
      <c r="E50" s="27">
        <v>705.42599161999999</v>
      </c>
      <c r="F50" s="27">
        <f t="shared" si="33"/>
        <v>24.486700041799683</v>
      </c>
      <c r="G50" s="27">
        <v>348.31504611999998</v>
      </c>
      <c r="H50" s="27">
        <f t="shared" si="33"/>
        <v>12.090688684151184</v>
      </c>
      <c r="I50" s="27">
        <v>136.40225864000001</v>
      </c>
      <c r="J50" s="27">
        <f t="shared" si="33"/>
        <v>4.7347861179190547</v>
      </c>
      <c r="K50" s="27">
        <v>176.94534973</v>
      </c>
      <c r="L50" s="27">
        <f t="shared" si="33"/>
        <v>6.1421151957835072</v>
      </c>
      <c r="M50" s="27">
        <v>196.26314084000001</v>
      </c>
      <c r="N50" s="27">
        <f t="shared" si="33"/>
        <v>6.8126730742852759</v>
      </c>
      <c r="O50" s="27">
        <v>232.19589647999999</v>
      </c>
      <c r="P50" s="27">
        <f t="shared" si="33"/>
        <v>8.0599684950442239</v>
      </c>
      <c r="Q50" s="27">
        <v>883.71371453000006</v>
      </c>
      <c r="R50" s="27">
        <f t="shared" si="33"/>
        <v>30.675411606009213</v>
      </c>
      <c r="S50" s="27">
        <v>83.4084</v>
      </c>
      <c r="T50" s="27">
        <f t="shared" ref="D50:T59" si="40">S50/$B50*100</f>
        <v>2.8952668260438097</v>
      </c>
      <c r="U50" s="27">
        <v>2.145</v>
      </c>
      <c r="V50" s="27">
        <f t="shared" si="34"/>
        <v>7.4457097149255622E-2</v>
      </c>
      <c r="W50" s="27">
        <v>6.9249999999999998</v>
      </c>
      <c r="X50" s="27">
        <f t="shared" si="27"/>
        <v>0.24038013881519585</v>
      </c>
      <c r="Y50" s="30">
        <f t="shared" si="9"/>
        <v>12.26427315000036</v>
      </c>
      <c r="Z50" s="27">
        <f t="shared" si="35"/>
        <v>0.42571663281798788</v>
      </c>
      <c r="AA50" s="31">
        <v>2.5409999999999999</v>
      </c>
      <c r="AB50" s="31">
        <f t="shared" si="36"/>
        <v>8.8203022776810497E-2</v>
      </c>
      <c r="AC50" s="31">
        <v>17.036000000000001</v>
      </c>
      <c r="AD50" s="31">
        <f t="shared" si="37"/>
        <v>0.5913524974520834</v>
      </c>
      <c r="AE50" s="31">
        <v>20.478999999999999</v>
      </c>
      <c r="AF50" s="31">
        <f t="shared" si="37"/>
        <v>0.71086568415832441</v>
      </c>
      <c r="AG50" s="31">
        <v>9.7119999999999997</v>
      </c>
      <c r="AH50" s="31">
        <f t="shared" si="38"/>
        <v>0.33712229720912379</v>
      </c>
      <c r="AI50" s="27">
        <v>52.018999999999998</v>
      </c>
      <c r="CC50" s="2">
        <v>954</v>
      </c>
      <c r="CD50" s="10">
        <f t="shared" si="39"/>
        <v>954</v>
      </c>
    </row>
    <row r="51" spans="1:82" hidden="1" x14ac:dyDescent="0.25">
      <c r="A51" s="29" t="s">
        <v>53</v>
      </c>
      <c r="B51" s="27">
        <v>3091.2641826099998</v>
      </c>
      <c r="C51" s="27">
        <v>129.09170431000001</v>
      </c>
      <c r="D51" s="27">
        <f t="shared" si="40"/>
        <v>4.176016564233147</v>
      </c>
      <c r="E51" s="27">
        <v>740.16257681000002</v>
      </c>
      <c r="F51" s="27">
        <f t="shared" si="40"/>
        <v>23.943685595485722</v>
      </c>
      <c r="G51" s="27">
        <v>397.72375906000002</v>
      </c>
      <c r="H51" s="27">
        <f t="shared" si="40"/>
        <v>12.866055295351561</v>
      </c>
      <c r="I51" s="27">
        <v>140.07191708000002</v>
      </c>
      <c r="J51" s="27">
        <f t="shared" si="40"/>
        <v>4.531217935625782</v>
      </c>
      <c r="K51" s="27">
        <v>189.23269594999999</v>
      </c>
      <c r="L51" s="27">
        <f t="shared" si="40"/>
        <v>6.1215310232795455</v>
      </c>
      <c r="M51" s="27">
        <v>211.14186412000001</v>
      </c>
      <c r="N51" s="27">
        <f t="shared" si="40"/>
        <v>6.8302756298793534</v>
      </c>
      <c r="O51" s="27">
        <v>242.91248505999999</v>
      </c>
      <c r="P51" s="27">
        <f t="shared" si="40"/>
        <v>7.8580305891198661</v>
      </c>
      <c r="Q51" s="27">
        <v>961.22581620999995</v>
      </c>
      <c r="R51" s="27">
        <f t="shared" si="40"/>
        <v>31.094910024753137</v>
      </c>
      <c r="S51" s="27"/>
      <c r="T51" s="27"/>
      <c r="U51" s="27">
        <v>2.1720000000000002</v>
      </c>
      <c r="V51" s="27">
        <f t="shared" si="34"/>
        <v>7.0262516294099089E-2</v>
      </c>
      <c r="W51" s="27">
        <v>8.8360000000000003</v>
      </c>
      <c r="X51" s="27">
        <f t="shared" si="27"/>
        <v>0.28583775044873827</v>
      </c>
      <c r="Y51" s="30">
        <f t="shared" si="9"/>
        <v>12.38736400999945</v>
      </c>
      <c r="Z51" s="27">
        <f t="shared" si="35"/>
        <v>0.40072162320143784</v>
      </c>
      <c r="AA51" s="31">
        <v>2.835</v>
      </c>
      <c r="AB51" s="31">
        <f t="shared" si="36"/>
        <v>9.1710052345198398E-2</v>
      </c>
      <c r="AC51" s="31">
        <v>17.779</v>
      </c>
      <c r="AD51" s="31">
        <f t="shared" si="37"/>
        <v>0.57513686795248053</v>
      </c>
      <c r="AE51" s="31">
        <v>20.452000000000002</v>
      </c>
      <c r="AF51" s="31">
        <f t="shared" si="37"/>
        <v>0.66160634587795331</v>
      </c>
      <c r="AG51" s="31">
        <v>15.24</v>
      </c>
      <c r="AH51" s="31">
        <f t="shared" si="38"/>
        <v>0.493002186151966</v>
      </c>
      <c r="AI51" s="27">
        <v>46.390999999999998</v>
      </c>
      <c r="CC51" s="2">
        <v>11</v>
      </c>
      <c r="CD51" s="10">
        <f t="shared" si="39"/>
        <v>11</v>
      </c>
    </row>
    <row r="52" spans="1:82" hidden="1" x14ac:dyDescent="0.25">
      <c r="A52" s="29" t="s">
        <v>54</v>
      </c>
      <c r="B52" s="27">
        <v>3315.4499153500001</v>
      </c>
      <c r="C52" s="27">
        <v>109.71650685</v>
      </c>
      <c r="D52" s="27">
        <f t="shared" si="40"/>
        <v>3.309249412637187</v>
      </c>
      <c r="E52" s="27">
        <v>781.64590481000005</v>
      </c>
      <c r="F52" s="27">
        <f t="shared" si="40"/>
        <v>23.575862243947803</v>
      </c>
      <c r="G52" s="27">
        <v>459.83922330000001</v>
      </c>
      <c r="H52" s="27">
        <f t="shared" si="40"/>
        <v>13.869587387552389</v>
      </c>
      <c r="I52" s="27">
        <v>145.50070360999999</v>
      </c>
      <c r="J52" s="27">
        <f t="shared" si="40"/>
        <v>4.3885658756706025</v>
      </c>
      <c r="K52" s="27">
        <v>216.14399315000003</v>
      </c>
      <c r="L52" s="27">
        <f t="shared" si="40"/>
        <v>6.5192959830063515</v>
      </c>
      <c r="M52" s="27">
        <v>225.37826867000001</v>
      </c>
      <c r="N52" s="27">
        <f t="shared" si="40"/>
        <v>6.7978185291394349</v>
      </c>
      <c r="O52" s="27">
        <v>244.28758688000002</v>
      </c>
      <c r="P52" s="27">
        <f t="shared" si="40"/>
        <v>7.3681579609750028</v>
      </c>
      <c r="Q52" s="27">
        <v>1047.48991247</v>
      </c>
      <c r="R52" s="27">
        <f t="shared" si="40"/>
        <v>31.594201065149264</v>
      </c>
      <c r="S52" s="27"/>
      <c r="T52" s="27"/>
      <c r="U52" s="27">
        <v>2.14</v>
      </c>
      <c r="V52" s="27">
        <f t="shared" si="34"/>
        <v>6.4546292498407057E-2</v>
      </c>
      <c r="W52" s="27">
        <v>15.752000000000001</v>
      </c>
      <c r="X52" s="27">
        <f t="shared" si="27"/>
        <v>0.47510897169855509</v>
      </c>
      <c r="Y52" s="30">
        <f t="shared" si="9"/>
        <v>13.630815610000177</v>
      </c>
      <c r="Z52" s="27">
        <f t="shared" si="35"/>
        <v>0.4111301922219272</v>
      </c>
      <c r="AA52" s="31">
        <v>5.6820000000000004</v>
      </c>
      <c r="AB52" s="31">
        <f t="shared" si="36"/>
        <v>0.17137945512894806</v>
      </c>
      <c r="AC52" s="31">
        <v>18.571999999999999</v>
      </c>
      <c r="AD52" s="31">
        <f t="shared" si="37"/>
        <v>0.5601653010656148</v>
      </c>
      <c r="AE52" s="31">
        <v>20.41</v>
      </c>
      <c r="AF52" s="31">
        <f t="shared" si="37"/>
        <v>0.61560272424882612</v>
      </c>
      <c r="AG52" s="31">
        <v>9.2609999999999992</v>
      </c>
      <c r="AH52" s="31">
        <f t="shared" si="38"/>
        <v>0.27932860505969515</v>
      </c>
      <c r="AI52" s="27">
        <v>59.423000000000002</v>
      </c>
      <c r="CC52" s="2">
        <f>CC54+CC55+CC56+CC57</f>
        <v>484</v>
      </c>
      <c r="CD52" s="10">
        <f t="shared" si="39"/>
        <v>484</v>
      </c>
    </row>
    <row r="53" spans="1:82" hidden="1" x14ac:dyDescent="0.25">
      <c r="A53" s="29" t="s">
        <v>55</v>
      </c>
      <c r="B53" s="27">
        <v>3458.4920896200001</v>
      </c>
      <c r="C53" s="27">
        <v>106.28669576999999</v>
      </c>
      <c r="D53" s="27">
        <f t="shared" si="40"/>
        <v>3.0732091621374269</v>
      </c>
      <c r="E53" s="27">
        <v>805.21722610999996</v>
      </c>
      <c r="F53" s="27">
        <f t="shared" si="40"/>
        <v>23.28232088564565</v>
      </c>
      <c r="G53" s="27">
        <v>424.59048203999998</v>
      </c>
      <c r="H53" s="27">
        <f t="shared" si="40"/>
        <v>12.276751573737203</v>
      </c>
      <c r="I53" s="27">
        <v>152.68519210000002</v>
      </c>
      <c r="J53" s="27">
        <f t="shared" si="40"/>
        <v>4.4147908436238819</v>
      </c>
      <c r="K53" s="27">
        <v>242.76657958000001</v>
      </c>
      <c r="L53" s="27">
        <f t="shared" si="40"/>
        <v>7.0194342878104967</v>
      </c>
      <c r="M53" s="27">
        <v>235.06712525</v>
      </c>
      <c r="N53" s="27">
        <f t="shared" si="40"/>
        <v>6.7968096834891956</v>
      </c>
      <c r="O53" s="27">
        <v>265.74100705000001</v>
      </c>
      <c r="P53" s="27">
        <f t="shared" si="40"/>
        <v>7.6837245875903726</v>
      </c>
      <c r="Q53" s="27">
        <v>1136.48750722</v>
      </c>
      <c r="R53" s="27">
        <f t="shared" si="40"/>
        <v>32.860780877046068</v>
      </c>
      <c r="S53" s="27">
        <v>126.64570999999999</v>
      </c>
      <c r="T53" s="27">
        <f t="shared" si="40"/>
        <v>3.6618765264810857</v>
      </c>
      <c r="U53" s="27">
        <v>2.1280000000000001</v>
      </c>
      <c r="V53" s="27">
        <f t="shared" si="34"/>
        <v>6.1529705572748991E-2</v>
      </c>
      <c r="W53" s="27">
        <v>20.657</v>
      </c>
      <c r="X53" s="27">
        <f t="shared" si="27"/>
        <v>0.59728342481967844</v>
      </c>
      <c r="Y53" s="30">
        <f t="shared" si="9"/>
        <v>14.776274500000092</v>
      </c>
      <c r="Z53" s="27">
        <f t="shared" si="35"/>
        <v>0.42724615575522762</v>
      </c>
      <c r="AA53" s="31">
        <v>6.8250000000000002</v>
      </c>
      <c r="AB53" s="31">
        <f t="shared" si="36"/>
        <v>0.19734033859681008</v>
      </c>
      <c r="AC53" s="31">
        <v>17.539000000000001</v>
      </c>
      <c r="AD53" s="31">
        <f t="shared" si="37"/>
        <v>0.50712852727464497</v>
      </c>
      <c r="AE53" s="31">
        <v>20.553000000000001</v>
      </c>
      <c r="AF53" s="31">
        <f t="shared" si="37"/>
        <v>0.59427633394582235</v>
      </c>
      <c r="AG53" s="31">
        <v>7.1719999999999997</v>
      </c>
      <c r="AH53" s="31">
        <f t="shared" si="38"/>
        <v>0.20737361295477241</v>
      </c>
      <c r="AI53" s="27">
        <v>68.468999999999994</v>
      </c>
      <c r="CD53" s="10"/>
    </row>
    <row r="54" spans="1:82" hidden="1" x14ac:dyDescent="0.25">
      <c r="A54" s="29" t="s">
        <v>56</v>
      </c>
      <c r="B54" s="27">
        <v>3443.9037720199999</v>
      </c>
      <c r="C54" s="27">
        <v>107.71368219</v>
      </c>
      <c r="D54" s="27">
        <f t="shared" si="40"/>
        <v>3.1276623657466835</v>
      </c>
      <c r="E54" s="27">
        <v>862.55777506000004</v>
      </c>
      <c r="F54" s="27">
        <f t="shared" si="40"/>
        <v>25.045931366255108</v>
      </c>
      <c r="G54" s="27">
        <v>219.69313585</v>
      </c>
      <c r="H54" s="27">
        <f t="shared" si="40"/>
        <v>6.3791891525801949</v>
      </c>
      <c r="I54" s="27">
        <v>158.35913916000001</v>
      </c>
      <c r="J54" s="27">
        <f t="shared" si="40"/>
        <v>4.5982451788168133</v>
      </c>
      <c r="K54" s="27">
        <v>236.52816991</v>
      </c>
      <c r="L54" s="27">
        <f t="shared" si="40"/>
        <v>6.8680249382016241</v>
      </c>
      <c r="M54" s="27">
        <v>249.74008945</v>
      </c>
      <c r="N54" s="27">
        <f t="shared" si="40"/>
        <v>7.2516570143165326</v>
      </c>
      <c r="O54" s="27">
        <v>274.17963832999999</v>
      </c>
      <c r="P54" s="27">
        <f t="shared" si="40"/>
        <v>7.9613036972046887</v>
      </c>
      <c r="Q54" s="27">
        <v>1246.7164369800003</v>
      </c>
      <c r="R54" s="27">
        <f t="shared" si="40"/>
        <v>36.200675730516899</v>
      </c>
      <c r="S54" s="27">
        <v>135.37072000000001</v>
      </c>
      <c r="T54" s="27">
        <f t="shared" si="40"/>
        <v>3.9307346825372873</v>
      </c>
      <c r="U54" s="27">
        <v>2.2980933700000001</v>
      </c>
      <c r="V54" s="27">
        <f t="shared" si="34"/>
        <v>6.6729314235515591E-2</v>
      </c>
      <c r="W54" s="27">
        <v>13.059718309999999</v>
      </c>
      <c r="X54" s="27">
        <f t="shared" si="27"/>
        <v>0.37921263701104818</v>
      </c>
      <c r="Y54" s="30">
        <f t="shared" si="9"/>
        <v>18.401109329999734</v>
      </c>
      <c r="Z54" s="27">
        <f t="shared" si="35"/>
        <v>0.5343096250104189</v>
      </c>
      <c r="AA54" s="31">
        <v>6.6855125900000001</v>
      </c>
      <c r="AB54" s="31">
        <f t="shared" si="36"/>
        <v>0.19412599865061431</v>
      </c>
      <c r="AC54" s="31">
        <v>17.482585480000001</v>
      </c>
      <c r="AD54" s="31">
        <f t="shared" si="37"/>
        <v>0.50763861702633173</v>
      </c>
      <c r="AE54" s="31">
        <v>20.49223044</v>
      </c>
      <c r="AF54" s="31">
        <f t="shared" si="37"/>
        <v>0.59502912382422379</v>
      </c>
      <c r="AG54" s="31">
        <v>9.9964555700000002</v>
      </c>
      <c r="AH54" s="31">
        <f t="shared" si="38"/>
        <v>0.29026524060330067</v>
      </c>
      <c r="AI54" s="27">
        <v>67.951762689999995</v>
      </c>
      <c r="CC54" s="2">
        <v>1214</v>
      </c>
      <c r="CD54" s="10">
        <f t="shared" si="39"/>
        <v>1214</v>
      </c>
    </row>
    <row r="55" spans="1:82" hidden="1" x14ac:dyDescent="0.25">
      <c r="A55" s="29" t="s">
        <v>57</v>
      </c>
      <c r="B55" s="27">
        <v>3573.0027270300002</v>
      </c>
      <c r="C55" s="27">
        <v>103.08589524</v>
      </c>
      <c r="D55" s="27">
        <f t="shared" si="40"/>
        <v>2.885133405025091</v>
      </c>
      <c r="E55" s="27">
        <v>912.61713148000001</v>
      </c>
      <c r="F55" s="27">
        <f t="shared" si="40"/>
        <v>25.542021688816284</v>
      </c>
      <c r="G55" s="27">
        <v>167.69609167999999</v>
      </c>
      <c r="H55" s="27">
        <f t="shared" si="40"/>
        <v>4.6934218776651928</v>
      </c>
      <c r="I55" s="27">
        <v>165.16409332000001</v>
      </c>
      <c r="J55" s="27">
        <f t="shared" si="40"/>
        <v>4.6225571581718317</v>
      </c>
      <c r="K55" s="27">
        <v>255.82276278000001</v>
      </c>
      <c r="L55" s="27">
        <f t="shared" si="40"/>
        <v>7.1598815429018288</v>
      </c>
      <c r="M55" s="27">
        <v>255.52799263</v>
      </c>
      <c r="N55" s="27">
        <f t="shared" si="40"/>
        <v>7.1516316149695029</v>
      </c>
      <c r="O55" s="27">
        <v>259.34234422000003</v>
      </c>
      <c r="P55" s="27">
        <f t="shared" si="40"/>
        <v>7.2583864058669247</v>
      </c>
      <c r="Q55" s="27">
        <v>1341.56379249</v>
      </c>
      <c r="R55" s="27">
        <f t="shared" si="40"/>
        <v>37.547236735672826</v>
      </c>
      <c r="S55" s="27">
        <v>129.49700000000001</v>
      </c>
      <c r="T55" s="27">
        <f t="shared" si="40"/>
        <v>3.6243185324306282</v>
      </c>
      <c r="U55" s="27">
        <v>2.5638477700000002</v>
      </c>
      <c r="V55" s="27">
        <f t="shared" si="34"/>
        <v>7.1756110080866256E-2</v>
      </c>
      <c r="W55" s="27">
        <v>27.827227350000001</v>
      </c>
      <c r="X55" s="27">
        <f t="shared" si="27"/>
        <v>0.77881909071843691</v>
      </c>
      <c r="Y55" s="30">
        <f t="shared" si="9"/>
        <v>21.037526280000478</v>
      </c>
      <c r="Z55" s="27">
        <f t="shared" si="35"/>
        <v>0.58879121812167146</v>
      </c>
      <c r="AA55" s="31">
        <v>9.9989545100000008</v>
      </c>
      <c r="AB55" s="31">
        <f t="shared" si="36"/>
        <v>0.27984737975029389</v>
      </c>
      <c r="AC55" s="31">
        <v>17.641120879999999</v>
      </c>
      <c r="AD55" s="31">
        <f t="shared" si="37"/>
        <v>0.49373376478399422</v>
      </c>
      <c r="AE55" s="31">
        <v>20.834470960000001</v>
      </c>
      <c r="AF55" s="31">
        <f t="shared" si="37"/>
        <v>0.58310817404044668</v>
      </c>
      <c r="AG55" s="31">
        <v>12.279475440000001</v>
      </c>
      <c r="AH55" s="31">
        <f t="shared" si="38"/>
        <v>0.34367383341481839</v>
      </c>
      <c r="AI55" s="27">
        <v>71.876329530000007</v>
      </c>
      <c r="CC55" s="2">
        <v>-745</v>
      </c>
      <c r="CD55" s="10">
        <f t="shared" si="39"/>
        <v>-745</v>
      </c>
    </row>
    <row r="56" spans="1:82" hidden="1" x14ac:dyDescent="0.25">
      <c r="A56" s="29" t="s">
        <v>58</v>
      </c>
      <c r="B56" s="27">
        <v>3771.25162757</v>
      </c>
      <c r="C56" s="27">
        <v>96.306606110000004</v>
      </c>
      <c r="D56" s="27">
        <f t="shared" si="40"/>
        <v>2.5537040648771296</v>
      </c>
      <c r="E56" s="27">
        <v>988.80986357999996</v>
      </c>
      <c r="F56" s="27">
        <f t="shared" si="40"/>
        <v>26.219673499143788</v>
      </c>
      <c r="G56" s="27">
        <v>178.69679515999999</v>
      </c>
      <c r="H56" s="27">
        <f t="shared" si="40"/>
        <v>4.7383949098921043</v>
      </c>
      <c r="I56" s="27">
        <v>163.90586535</v>
      </c>
      <c r="J56" s="27">
        <f t="shared" si="40"/>
        <v>4.3461927640084967</v>
      </c>
      <c r="K56" s="27">
        <v>255.21651581999998</v>
      </c>
      <c r="L56" s="27">
        <f t="shared" si="40"/>
        <v>6.7674220928198396</v>
      </c>
      <c r="M56" s="27">
        <v>270.16705589999998</v>
      </c>
      <c r="N56" s="27">
        <f t="shared" si="40"/>
        <v>7.1638565277618902</v>
      </c>
      <c r="O56" s="27">
        <v>278.06630707000005</v>
      </c>
      <c r="P56" s="27">
        <f t="shared" si="40"/>
        <v>7.373316196595761</v>
      </c>
      <c r="Q56" s="27">
        <v>1411.9887624100002</v>
      </c>
      <c r="R56" s="27">
        <f t="shared" si="40"/>
        <v>37.440852582934461</v>
      </c>
      <c r="S56" s="27">
        <v>161.28359499999999</v>
      </c>
      <c r="T56" s="27">
        <f t="shared" si="40"/>
        <v>4.2766596060821014</v>
      </c>
      <c r="U56" s="27">
        <v>2.7064879199999998</v>
      </c>
      <c r="V56" s="27">
        <f t="shared" si="34"/>
        <v>7.1766304327561425E-2</v>
      </c>
      <c r="W56" s="27">
        <v>43.991380200000002</v>
      </c>
      <c r="X56" s="27">
        <f t="shared" si="27"/>
        <v>1.1664928396291014</v>
      </c>
      <c r="Y56" s="30">
        <f t="shared" si="9"/>
        <v>24.801507750000113</v>
      </c>
      <c r="Z56" s="27">
        <f t="shared" si="35"/>
        <v>0.6576465905559562</v>
      </c>
      <c r="AA56" s="31">
        <v>11.220624190000001</v>
      </c>
      <c r="AB56" s="31">
        <f t="shared" si="36"/>
        <v>0.2975305097111749</v>
      </c>
      <c r="AC56" s="31">
        <v>18.000423420000001</v>
      </c>
      <c r="AD56" s="31">
        <f t="shared" si="37"/>
        <v>0.47730634806775135</v>
      </c>
      <c r="AE56" s="31">
        <v>20.76767242</v>
      </c>
      <c r="AF56" s="31">
        <f t="shared" si="37"/>
        <v>0.55068381722864823</v>
      </c>
      <c r="AG56" s="31">
        <v>6.6057602700000002</v>
      </c>
      <c r="AH56" s="31">
        <f t="shared" si="38"/>
        <v>0.17516095244634766</v>
      </c>
      <c r="AI56" s="27">
        <v>83.360235110000005</v>
      </c>
      <c r="CC56" s="2">
        <v>0</v>
      </c>
      <c r="CD56" s="10">
        <f>BY56+BZ56+CA56+CC56</f>
        <v>0</v>
      </c>
    </row>
    <row r="57" spans="1:82" hidden="1" x14ac:dyDescent="0.25">
      <c r="A57" s="29" t="s">
        <v>59</v>
      </c>
      <c r="B57" s="27">
        <v>4050.0154233600001</v>
      </c>
      <c r="C57" s="27">
        <v>99.726926789999993</v>
      </c>
      <c r="D57" s="27">
        <f t="shared" si="40"/>
        <v>2.462383876732595</v>
      </c>
      <c r="E57" s="27">
        <v>1065.40241483</v>
      </c>
      <c r="F57" s="27">
        <f t="shared" si="40"/>
        <v>26.306132284951001</v>
      </c>
      <c r="G57" s="27">
        <v>215.65127704</v>
      </c>
      <c r="H57" s="27">
        <f t="shared" si="40"/>
        <v>5.3247026121468446</v>
      </c>
      <c r="I57" s="27">
        <v>179.93590965999999</v>
      </c>
      <c r="J57" s="27">
        <f t="shared" si="40"/>
        <v>4.4428450475065207</v>
      </c>
      <c r="K57" s="27">
        <v>278.59950420999996</v>
      </c>
      <c r="L57" s="27">
        <f t="shared" si="40"/>
        <v>6.8789739071874063</v>
      </c>
      <c r="M57" s="27">
        <v>289.47983313000003</v>
      </c>
      <c r="N57" s="27">
        <f t="shared" si="40"/>
        <v>7.1476229808981788</v>
      </c>
      <c r="O57" s="27">
        <v>332.91495220000002</v>
      </c>
      <c r="P57" s="27">
        <f t="shared" si="40"/>
        <v>8.2200909724883218</v>
      </c>
      <c r="Q57" s="27">
        <v>1496.2285650399999</v>
      </c>
      <c r="R57" s="27">
        <f t="shared" si="40"/>
        <v>36.943774495522511</v>
      </c>
      <c r="S57" s="27">
        <v>154.89699999999999</v>
      </c>
      <c r="T57" s="27">
        <f t="shared" si="40"/>
        <v>3.8246027189568905</v>
      </c>
      <c r="U57" s="27">
        <v>2.9017343800000002</v>
      </c>
      <c r="V57" s="27">
        <f t="shared" si="34"/>
        <v>7.1647489618512222E-2</v>
      </c>
      <c r="W57" s="27">
        <v>2.2714433999999999</v>
      </c>
      <c r="X57" s="27">
        <f t="shared" si="27"/>
        <v>5.6084808637976748E-2</v>
      </c>
      <c r="Y57" s="30">
        <f t="shared" si="9"/>
        <v>26.810337120000113</v>
      </c>
      <c r="Z57" s="27">
        <f t="shared" si="35"/>
        <v>0.66198111161160833</v>
      </c>
      <c r="AA57" s="31">
        <v>12.20754359</v>
      </c>
      <c r="AB57" s="31">
        <f t="shared" si="36"/>
        <v>0.30141968150512127</v>
      </c>
      <c r="AC57" s="31">
        <v>18.87280075</v>
      </c>
      <c r="AD57" s="31">
        <f t="shared" si="37"/>
        <v>0.46599330563394809</v>
      </c>
      <c r="AE57" s="31">
        <v>22.37419036</v>
      </c>
      <c r="AF57" s="31">
        <f t="shared" si="37"/>
        <v>0.55244704084207608</v>
      </c>
      <c r="AG57" s="31">
        <v>6.6379908600000004</v>
      </c>
      <c r="AH57" s="31">
        <f t="shared" si="38"/>
        <v>0.16390038471737345</v>
      </c>
      <c r="AI57" s="27">
        <v>82.251150809999999</v>
      </c>
      <c r="CC57" s="2">
        <v>15</v>
      </c>
      <c r="CD57" s="10">
        <f>BY57+BZ57+CA57+CC57</f>
        <v>15</v>
      </c>
    </row>
    <row r="58" spans="1:82" hidden="1" x14ac:dyDescent="0.25">
      <c r="A58" s="29" t="s">
        <v>60</v>
      </c>
      <c r="B58" s="27">
        <v>4340.2819493500001</v>
      </c>
      <c r="C58" s="27">
        <v>98.186749480000003</v>
      </c>
      <c r="D58" s="27">
        <f t="shared" si="40"/>
        <v>2.2622205337306358</v>
      </c>
      <c r="E58" s="27">
        <v>1119.7633581699999</v>
      </c>
      <c r="F58" s="27">
        <f t="shared" si="40"/>
        <v>25.799322975727314</v>
      </c>
      <c r="G58" s="27">
        <v>233.54055170999999</v>
      </c>
      <c r="H58" s="27">
        <f t="shared" si="40"/>
        <v>5.3807691397784652</v>
      </c>
      <c r="I58" s="27">
        <v>195.90338151999998</v>
      </c>
      <c r="J58" s="27">
        <f t="shared" si="40"/>
        <v>4.5136095720541478</v>
      </c>
      <c r="K58" s="27">
        <v>317.51357159000003</v>
      </c>
      <c r="L58" s="27">
        <f t="shared" si="40"/>
        <v>7.3155056582798919</v>
      </c>
      <c r="M58" s="27">
        <v>300.84869487000003</v>
      </c>
      <c r="N58" s="27">
        <f t="shared" si="40"/>
        <v>6.9315472676851115</v>
      </c>
      <c r="O58" s="27">
        <v>389.38392948000001</v>
      </c>
      <c r="P58" s="27">
        <f t="shared" si="40"/>
        <v>8.9713971125381402</v>
      </c>
      <c r="Q58" s="27">
        <v>1596.31234249</v>
      </c>
      <c r="R58" s="27">
        <f t="shared" si="40"/>
        <v>36.779001021559523</v>
      </c>
      <c r="S58" s="27">
        <v>154.89699999999999</v>
      </c>
      <c r="T58" s="27">
        <f t="shared" si="40"/>
        <v>3.5688234498958611</v>
      </c>
      <c r="U58" s="27">
        <v>2.9665320500000001</v>
      </c>
      <c r="V58" s="27">
        <f t="shared" si="34"/>
        <v>6.8348832739869983E-2</v>
      </c>
      <c r="W58" s="27">
        <v>2.62716159</v>
      </c>
      <c r="X58" s="27">
        <f t="shared" si="27"/>
        <v>6.0529744856631797E-2</v>
      </c>
      <c r="Y58" s="30">
        <f t="shared" si="9"/>
        <v>23.760934629999948</v>
      </c>
      <c r="Z58" s="27">
        <f t="shared" si="35"/>
        <v>0.54745140770309597</v>
      </c>
      <c r="AA58" s="31">
        <v>12.664874810000001</v>
      </c>
      <c r="AB58" s="31">
        <f t="shared" si="36"/>
        <v>0.29179843516609999</v>
      </c>
      <c r="AC58" s="31">
        <v>17.632137140000001</v>
      </c>
      <c r="AD58" s="31">
        <f t="shared" si="37"/>
        <v>0.40624404925215946</v>
      </c>
      <c r="AE58" s="31">
        <v>24.435199300000001</v>
      </c>
      <c r="AF58" s="31">
        <f t="shared" si="37"/>
        <v>0.56298645076869747</v>
      </c>
      <c r="AG58" s="31">
        <v>4.7425305199999999</v>
      </c>
      <c r="AH58" s="31">
        <f t="shared" si="38"/>
        <v>0.10926779816021492</v>
      </c>
      <c r="AI58" s="27">
        <v>100.85836845</v>
      </c>
      <c r="CC58" s="2">
        <v>-372</v>
      </c>
      <c r="CD58" s="10">
        <f>BY58+BZ58+CA58+CC58</f>
        <v>-372</v>
      </c>
    </row>
    <row r="59" spans="1:82" hidden="1" x14ac:dyDescent="0.25">
      <c r="A59" s="29" t="s">
        <v>61</v>
      </c>
      <c r="B59" s="27">
        <v>4681.7733614700001</v>
      </c>
      <c r="C59" s="27">
        <v>100.26732249</v>
      </c>
      <c r="D59" s="27">
        <f t="shared" si="40"/>
        <v>2.1416526334909496</v>
      </c>
      <c r="E59" s="27">
        <v>1194.0235843999999</v>
      </c>
      <c r="F59" s="27">
        <f t="shared" si="40"/>
        <v>25.50366051946385</v>
      </c>
      <c r="G59" s="27">
        <v>302.04128283</v>
      </c>
      <c r="H59" s="27">
        <f t="shared" si="40"/>
        <v>6.4514289674023004</v>
      </c>
      <c r="I59" s="27">
        <v>197.23936623999998</v>
      </c>
      <c r="J59" s="27">
        <f t="shared" si="40"/>
        <v>4.2129199987175383</v>
      </c>
      <c r="K59" s="27">
        <v>312.34511679000002</v>
      </c>
      <c r="L59" s="27">
        <f t="shared" si="40"/>
        <v>6.6715129647354123</v>
      </c>
      <c r="M59" s="27">
        <v>308.04767585999997</v>
      </c>
      <c r="N59" s="27">
        <f t="shared" si="40"/>
        <v>6.5797220855491831</v>
      </c>
      <c r="O59" s="27">
        <v>469.63488959999989</v>
      </c>
      <c r="P59" s="27">
        <f t="shared" si="40"/>
        <v>10.031132507715885</v>
      </c>
      <c r="Q59" s="27">
        <v>1657.21590305</v>
      </c>
      <c r="R59" s="27">
        <f t="shared" si="40"/>
        <v>35.397183398251073</v>
      </c>
      <c r="S59" s="27">
        <v>171.5556</v>
      </c>
      <c r="T59" s="27">
        <f t="shared" si="40"/>
        <v>3.6643294485774587</v>
      </c>
      <c r="U59" s="27">
        <v>3.0617016499999998</v>
      </c>
      <c r="V59" s="27">
        <f t="shared" si="34"/>
        <v>6.5396195279275024E-2</v>
      </c>
      <c r="W59" s="27">
        <v>64.761847590000002</v>
      </c>
      <c r="X59" s="27">
        <f t="shared" si="27"/>
        <v>1.383276006544363</v>
      </c>
      <c r="Y59" s="30">
        <f t="shared" si="9"/>
        <v>28.091952210000819</v>
      </c>
      <c r="Z59" s="27">
        <f t="shared" si="35"/>
        <v>0.60002802444884706</v>
      </c>
      <c r="AA59" s="31">
        <v>12.78481955</v>
      </c>
      <c r="AB59" s="31">
        <f t="shared" si="36"/>
        <v>0.27307642986771524</v>
      </c>
      <c r="AC59" s="31">
        <v>17.374851060000001</v>
      </c>
      <c r="AD59" s="31">
        <f t="shared" si="37"/>
        <v>0.3711168764167726</v>
      </c>
      <c r="AE59" s="31">
        <v>9.7083710199999995</v>
      </c>
      <c r="AF59" s="31">
        <f t="shared" si="37"/>
        <v>0.20736524967008932</v>
      </c>
      <c r="AG59" s="31">
        <v>5.1746771300000001</v>
      </c>
      <c r="AH59" s="31">
        <f t="shared" si="38"/>
        <v>0.11052814244675946</v>
      </c>
      <c r="AI59" s="27">
        <v>111.54229775</v>
      </c>
      <c r="CC59" s="2">
        <v>-231</v>
      </c>
      <c r="CD59" s="10">
        <f>BY59+BZ59+CA59+CC59</f>
        <v>-231</v>
      </c>
    </row>
    <row r="60" spans="1:82" x14ac:dyDescent="0.25">
      <c r="A60" s="28">
        <v>2008</v>
      </c>
      <c r="B60" s="27">
        <f>+B72</f>
        <v>7191.2507889600001</v>
      </c>
      <c r="C60" s="27">
        <f t="shared" ref="C60:AI60" si="41">+C72</f>
        <v>159.79559122000001</v>
      </c>
      <c r="D60" s="27">
        <f t="shared" si="41"/>
        <v>2.2220834164943604</v>
      </c>
      <c r="E60" s="27">
        <f t="shared" si="41"/>
        <v>1911.3072199400001</v>
      </c>
      <c r="F60" s="27">
        <f t="shared" si="41"/>
        <v>26.578230630952778</v>
      </c>
      <c r="G60" s="27">
        <f t="shared" si="41"/>
        <v>855.69988688000001</v>
      </c>
      <c r="H60" s="27">
        <f t="shared" si="41"/>
        <v>11.899180156443293</v>
      </c>
      <c r="I60" s="27">
        <f t="shared" si="41"/>
        <v>261.47057494000001</v>
      </c>
      <c r="J60" s="27">
        <f t="shared" si="41"/>
        <v>3.6359540588044754</v>
      </c>
      <c r="K60" s="27">
        <f t="shared" si="41"/>
        <v>461.37206370000001</v>
      </c>
      <c r="L60" s="27">
        <f t="shared" si="41"/>
        <v>6.4157415342585162</v>
      </c>
      <c r="M60" s="27">
        <f t="shared" si="41"/>
        <v>427.51873171</v>
      </c>
      <c r="N60" s="27">
        <f t="shared" si="41"/>
        <v>5.9449843185322679</v>
      </c>
      <c r="O60" s="27">
        <f t="shared" si="41"/>
        <v>669.11947628999997</v>
      </c>
      <c r="P60" s="27">
        <f t="shared" si="41"/>
        <v>9.3046327534179643</v>
      </c>
      <c r="Q60" s="27">
        <f t="shared" si="41"/>
        <v>2334.86644867</v>
      </c>
      <c r="R60" s="27">
        <f t="shared" si="41"/>
        <v>32.468154945374508</v>
      </c>
      <c r="S60" s="27">
        <f t="shared" si="41"/>
        <v>197.62110000000001</v>
      </c>
      <c r="T60" s="27">
        <f t="shared" si="41"/>
        <v>2.7480768756304217</v>
      </c>
      <c r="U60" s="27">
        <f t="shared" si="41"/>
        <v>7.0910000000000002</v>
      </c>
      <c r="V60" s="27">
        <f t="shared" si="41"/>
        <v>9.8605933906325383E-2</v>
      </c>
      <c r="W60" s="27">
        <f t="shared" si="41"/>
        <v>0.57177211999999999</v>
      </c>
      <c r="X60" s="27">
        <f t="shared" si="41"/>
        <v>7.9509411753207644E-3</v>
      </c>
      <c r="Y60" s="27">
        <f t="shared" si="9"/>
        <v>48.079620780000333</v>
      </c>
      <c r="Z60" s="27">
        <f t="shared" si="41"/>
        <v>0.66858495400844742</v>
      </c>
      <c r="AA60" s="27">
        <f t="shared" si="41"/>
        <v>43.629224700000002</v>
      </c>
      <c r="AB60" s="27">
        <f t="shared" si="41"/>
        <v>0.60669869512796759</v>
      </c>
      <c r="AC60" s="27">
        <f t="shared" si="41"/>
        <v>0</v>
      </c>
      <c r="AD60" s="27">
        <f t="shared" si="41"/>
        <v>0</v>
      </c>
      <c r="AE60" s="27">
        <f t="shared" si="41"/>
        <v>0.51973062000000003</v>
      </c>
      <c r="AF60" s="27">
        <f t="shared" si="41"/>
        <v>7.2272631737150634E-3</v>
      </c>
      <c r="AG60" s="27">
        <f t="shared" si="41"/>
        <v>10.209447389999999</v>
      </c>
      <c r="AH60" s="27">
        <f t="shared" si="41"/>
        <v>0.14197039833005867</v>
      </c>
      <c r="AI60" s="27">
        <f t="shared" si="41"/>
        <v>180.59689255999999</v>
      </c>
      <c r="CD60" s="10"/>
    </row>
    <row r="61" spans="1:82" hidden="1" x14ac:dyDescent="0.25">
      <c r="A61" s="29" t="s">
        <v>50</v>
      </c>
      <c r="B61" s="27">
        <v>4758.2469343599996</v>
      </c>
      <c r="C61" s="27">
        <v>99.579425850000007</v>
      </c>
      <c r="D61" s="27">
        <f t="shared" ref="D61:R61" si="42">C61/$B61*100</f>
        <v>2.0927754953388895</v>
      </c>
      <c r="E61" s="27">
        <v>1240.5537354799999</v>
      </c>
      <c r="F61" s="27">
        <f t="shared" si="42"/>
        <v>26.071655224990099</v>
      </c>
      <c r="G61" s="27">
        <v>314.18942650000002</v>
      </c>
      <c r="H61" s="27">
        <f t="shared" si="42"/>
        <v>6.603050048352725</v>
      </c>
      <c r="I61" s="27">
        <v>199.01313359</v>
      </c>
      <c r="J61" s="27">
        <f t="shared" si="42"/>
        <v>4.182488557979136</v>
      </c>
      <c r="K61" s="27">
        <v>333.36898392000001</v>
      </c>
      <c r="L61" s="27">
        <f t="shared" si="42"/>
        <v>7.0061303778224211</v>
      </c>
      <c r="M61" s="27">
        <v>320.65054728000001</v>
      </c>
      <c r="N61" s="27">
        <f t="shared" si="42"/>
        <v>6.738837889318761</v>
      </c>
      <c r="O61" s="27">
        <v>473.15294684000003</v>
      </c>
      <c r="P61" s="27">
        <f t="shared" si="42"/>
        <v>9.9438501903567289</v>
      </c>
      <c r="Q61" s="27">
        <v>1694.33018292</v>
      </c>
      <c r="R61" s="27">
        <f t="shared" si="42"/>
        <v>35.60828612498004</v>
      </c>
      <c r="S61" s="27">
        <v>187.57599999999999</v>
      </c>
      <c r="T61" s="27">
        <f t="shared" ref="D61:T72" si="43">S61/$B61*100</f>
        <v>3.9421241181386817</v>
      </c>
      <c r="U61" s="27">
        <v>3.15549005</v>
      </c>
      <c r="V61" s="27">
        <f t="shared" ref="V61:V72" si="44">U61/$B61*100</f>
        <v>6.6316231450993912E-2</v>
      </c>
      <c r="W61" s="27">
        <v>0.96917964999999995</v>
      </c>
      <c r="X61" s="27">
        <f t="shared" si="27"/>
        <v>2.0368418524087335E-2</v>
      </c>
      <c r="Y61" s="30">
        <f t="shared" si="9"/>
        <v>27.616469989999512</v>
      </c>
      <c r="Z61" s="27">
        <f t="shared" ref="Z61:Z72" si="45">Y61/$B61*100</f>
        <v>0.58039169406230107</v>
      </c>
      <c r="AA61" s="31">
        <v>15.299684539999999</v>
      </c>
      <c r="AB61" s="31">
        <f t="shared" ref="AB61:AB72" si="46">AA61/B61*100</f>
        <v>0.32154036457248009</v>
      </c>
      <c r="AC61" s="31">
        <v>16.368736800000001</v>
      </c>
      <c r="AD61" s="31">
        <f t="shared" ref="AD61:AF72" si="47">AC61/$B61*100</f>
        <v>0.34400772019205117</v>
      </c>
      <c r="AE61" s="31">
        <v>8.3973347999999994</v>
      </c>
      <c r="AF61" s="31">
        <f t="shared" si="47"/>
        <v>0.17647959250205389</v>
      </c>
      <c r="AG61" s="31">
        <v>11.60165615</v>
      </c>
      <c r="AH61" s="31">
        <f t="shared" ref="AH61:AH72" si="48">AG61/$B61*100</f>
        <v>0.24382206955722996</v>
      </c>
      <c r="AI61" s="27">
        <v>110.71274722</v>
      </c>
      <c r="CC61" s="2">
        <f>CC7+CC45-CC47+CC58-CC59</f>
        <v>-141</v>
      </c>
      <c r="CD61" s="10">
        <f>BY61+BZ61+CA61+CC61</f>
        <v>-141</v>
      </c>
    </row>
    <row r="62" spans="1:82" hidden="1" x14ac:dyDescent="0.25">
      <c r="A62" s="29" t="s">
        <v>51</v>
      </c>
      <c r="B62" s="27">
        <v>4812.1859055799996</v>
      </c>
      <c r="C62" s="27">
        <v>108.24244997</v>
      </c>
      <c r="D62" s="27">
        <f t="shared" si="43"/>
        <v>2.249340571911131</v>
      </c>
      <c r="E62" s="27">
        <v>1295.60176583</v>
      </c>
      <c r="F62" s="27">
        <f t="shared" si="43"/>
        <v>26.923352323684689</v>
      </c>
      <c r="G62" s="27">
        <v>364.99834043999999</v>
      </c>
      <c r="H62" s="27">
        <f t="shared" si="43"/>
        <v>7.5848761374069928</v>
      </c>
      <c r="I62" s="27">
        <v>206.10646295999999</v>
      </c>
      <c r="J62" s="27">
        <f t="shared" si="43"/>
        <v>4.2830112344788676</v>
      </c>
      <c r="K62" s="27">
        <v>347.91385271000001</v>
      </c>
      <c r="L62" s="27">
        <f t="shared" si="43"/>
        <v>7.229850623737839</v>
      </c>
      <c r="M62" s="27">
        <v>329.02567679999999</v>
      </c>
      <c r="N62" s="27">
        <f t="shared" si="43"/>
        <v>6.8373434288662089</v>
      </c>
      <c r="O62" s="27">
        <v>287.14354584</v>
      </c>
      <c r="P62" s="27">
        <f t="shared" si="43"/>
        <v>5.9670085793452188</v>
      </c>
      <c r="Q62" s="27">
        <v>1789.4664088100001</v>
      </c>
      <c r="R62" s="27">
        <f t="shared" si="43"/>
        <v>37.186144590445132</v>
      </c>
      <c r="S62" s="27">
        <v>188.9</v>
      </c>
      <c r="T62" s="27">
        <f t="shared" si="43"/>
        <v>3.9254510051442497</v>
      </c>
      <c r="U62" s="27">
        <v>3.71887144</v>
      </c>
      <c r="V62" s="27">
        <f t="shared" si="44"/>
        <v>7.7280294505824465E-2</v>
      </c>
      <c r="W62" s="27">
        <v>10.968326579999999</v>
      </c>
      <c r="X62" s="27">
        <f t="shared" si="27"/>
        <v>0.22792815562843508</v>
      </c>
      <c r="Y62" s="30">
        <f t="shared" si="9"/>
        <v>27.277727569999797</v>
      </c>
      <c r="Z62" s="27">
        <f t="shared" si="45"/>
        <v>0.56684691957494282</v>
      </c>
      <c r="AA62" s="31">
        <v>15.82346493</v>
      </c>
      <c r="AB62" s="31">
        <f t="shared" si="46"/>
        <v>0.32882073220928154</v>
      </c>
      <c r="AC62" s="31">
        <v>4.3049200799999996</v>
      </c>
      <c r="AD62" s="31">
        <f t="shared" si="47"/>
        <v>8.9458723425630826E-2</v>
      </c>
      <c r="AE62" s="31">
        <v>7.66128667</v>
      </c>
      <c r="AF62" s="31">
        <f t="shared" si="47"/>
        <v>0.15920595796426543</v>
      </c>
      <c r="AG62" s="31">
        <v>13.93280495</v>
      </c>
      <c r="AH62" s="31">
        <f t="shared" si="48"/>
        <v>0.28953172681554407</v>
      </c>
      <c r="AI62" s="27">
        <v>139.45542606999999</v>
      </c>
    </row>
    <row r="63" spans="1:82" hidden="1" x14ac:dyDescent="0.25">
      <c r="A63" s="29" t="s">
        <v>52</v>
      </c>
      <c r="B63" s="27">
        <v>4932.1251997099998</v>
      </c>
      <c r="C63" s="27">
        <v>102.78926656</v>
      </c>
      <c r="D63" s="27">
        <f t="shared" si="43"/>
        <v>2.0840765876349576</v>
      </c>
      <c r="E63" s="27">
        <v>1332.2352727499999</v>
      </c>
      <c r="F63" s="27">
        <f t="shared" si="43"/>
        <v>27.011383912726565</v>
      </c>
      <c r="G63" s="27">
        <v>360.28087202</v>
      </c>
      <c r="H63" s="27">
        <f t="shared" si="43"/>
        <v>7.3047795307625982</v>
      </c>
      <c r="I63" s="27">
        <v>213.34152766</v>
      </c>
      <c r="J63" s="27">
        <f t="shared" si="43"/>
        <v>4.3255497178486886</v>
      </c>
      <c r="K63" s="27">
        <v>347.23472743000002</v>
      </c>
      <c r="L63" s="27">
        <f t="shared" si="43"/>
        <v>7.0402658766735442</v>
      </c>
      <c r="M63" s="27">
        <v>345.71170587</v>
      </c>
      <c r="N63" s="27">
        <f t="shared" si="43"/>
        <v>7.0093862558543165</v>
      </c>
      <c r="O63" s="27">
        <v>307.35975249000001</v>
      </c>
      <c r="P63" s="27">
        <f t="shared" si="43"/>
        <v>6.2317913687201658</v>
      </c>
      <c r="Q63" s="27">
        <v>1848.98235628</v>
      </c>
      <c r="R63" s="27">
        <f t="shared" si="43"/>
        <v>37.488552731563196</v>
      </c>
      <c r="S63" s="27">
        <v>181.16589999999999</v>
      </c>
      <c r="T63" s="27">
        <f t="shared" si="43"/>
        <v>3.6731812892878759</v>
      </c>
      <c r="U63" s="27">
        <v>7.9586439100000002</v>
      </c>
      <c r="V63" s="27">
        <f t="shared" si="44"/>
        <v>0.16136337963334657</v>
      </c>
      <c r="W63" s="27">
        <v>6.1126255299999999</v>
      </c>
      <c r="X63" s="27">
        <f t="shared" si="27"/>
        <v>0.12393492221891309</v>
      </c>
      <c r="Y63" s="30">
        <f t="shared" si="9"/>
        <v>22.610342779999286</v>
      </c>
      <c r="Z63" s="27">
        <f t="shared" si="45"/>
        <v>0.45843002487708001</v>
      </c>
      <c r="AA63" s="31">
        <v>16.11993953</v>
      </c>
      <c r="AB63" s="31">
        <f t="shared" si="46"/>
        <v>0.32683557041390238</v>
      </c>
      <c r="AC63" s="31">
        <v>3.8175442199999998</v>
      </c>
      <c r="AD63" s="31">
        <f t="shared" si="47"/>
        <v>7.7401608138910685E-2</v>
      </c>
      <c r="AE63" s="31">
        <v>6.1715610999999999</v>
      </c>
      <c r="AF63" s="31">
        <f t="shared" si="47"/>
        <v>0.12512985478071151</v>
      </c>
      <c r="AG63" s="31">
        <v>11.39906158</v>
      </c>
      <c r="AH63" s="31">
        <f t="shared" si="48"/>
        <v>0.23111865815308671</v>
      </c>
      <c r="AI63" s="27">
        <v>176.55846951999999</v>
      </c>
    </row>
    <row r="64" spans="1:82" hidden="1" x14ac:dyDescent="0.25">
      <c r="A64" s="29" t="s">
        <v>53</v>
      </c>
      <c r="B64" s="27">
        <v>5216.6671280999999</v>
      </c>
      <c r="C64" s="27">
        <v>108.11394384</v>
      </c>
      <c r="D64" s="27">
        <f t="shared" si="43"/>
        <v>2.0724715835832326</v>
      </c>
      <c r="E64" s="27">
        <v>1402.9155777200001</v>
      </c>
      <c r="F64" s="27">
        <f t="shared" si="43"/>
        <v>26.892947992849336</v>
      </c>
      <c r="G64" s="27">
        <v>366.16147740999997</v>
      </c>
      <c r="H64" s="27">
        <f t="shared" si="43"/>
        <v>7.0190692336423295</v>
      </c>
      <c r="I64" s="27">
        <v>230.93276953</v>
      </c>
      <c r="J64" s="27">
        <f t="shared" si="43"/>
        <v>4.426825861402234</v>
      </c>
      <c r="K64" s="27">
        <v>419.6528404</v>
      </c>
      <c r="L64" s="27">
        <f t="shared" si="43"/>
        <v>8.0444626826869197</v>
      </c>
      <c r="M64" s="27">
        <v>352.18378815</v>
      </c>
      <c r="N64" s="27">
        <f t="shared" si="43"/>
        <v>6.7511263322310429</v>
      </c>
      <c r="O64" s="27">
        <v>241.11989061</v>
      </c>
      <c r="P64" s="27">
        <f t="shared" si="43"/>
        <v>4.6221061204229068</v>
      </c>
      <c r="Q64" s="27">
        <v>1996.42207422</v>
      </c>
      <c r="R64" s="27">
        <f t="shared" si="43"/>
        <v>38.270068325159393</v>
      </c>
      <c r="S64" s="27">
        <v>191.91901999999999</v>
      </c>
      <c r="T64" s="27">
        <f t="shared" si="43"/>
        <v>3.6789585244228569</v>
      </c>
      <c r="U64" s="27">
        <v>7.74629397</v>
      </c>
      <c r="V64" s="27">
        <f t="shared" si="44"/>
        <v>0.14849124507626643</v>
      </c>
      <c r="W64" s="27">
        <v>0.10171761999999999</v>
      </c>
      <c r="X64" s="27">
        <f t="shared" si="27"/>
        <v>1.9498583578793018E-3</v>
      </c>
      <c r="Y64" s="30">
        <f t="shared" si="9"/>
        <v>22.907601090000462</v>
      </c>
      <c r="Z64" s="27">
        <f t="shared" si="45"/>
        <v>0.43912330473621392</v>
      </c>
      <c r="AA64" s="31">
        <v>21.221039510000001</v>
      </c>
      <c r="AB64" s="31">
        <f t="shared" si="46"/>
        <v>0.40679305366622215</v>
      </c>
      <c r="AC64" s="31">
        <v>3.65797908</v>
      </c>
      <c r="AD64" s="31">
        <f t="shared" si="47"/>
        <v>7.0120998525974559E-2</v>
      </c>
      <c r="AE64" s="31">
        <v>6.1070864699999996</v>
      </c>
      <c r="AF64" s="31">
        <f t="shared" si="47"/>
        <v>0.11706873986848201</v>
      </c>
      <c r="AG64" s="31">
        <v>37.423048479999999</v>
      </c>
      <c r="AH64" s="31">
        <f t="shared" si="48"/>
        <v>0.71737466779158132</v>
      </c>
      <c r="AI64" s="27">
        <v>160.23920007000001</v>
      </c>
    </row>
    <row r="65" spans="1:35" hidden="1" x14ac:dyDescent="0.25">
      <c r="A65" s="29" t="s">
        <v>54</v>
      </c>
      <c r="B65" s="27">
        <v>6063.9725886699998</v>
      </c>
      <c r="C65" s="27">
        <v>114.13362878</v>
      </c>
      <c r="D65" s="27">
        <f t="shared" si="43"/>
        <v>1.8821593783792601</v>
      </c>
      <c r="E65" s="27">
        <v>1461.5167391499999</v>
      </c>
      <c r="F65" s="27">
        <f t="shared" si="43"/>
        <v>24.101638287097728</v>
      </c>
      <c r="G65" s="27">
        <v>920.66991012999995</v>
      </c>
      <c r="H65" s="27">
        <f t="shared" si="43"/>
        <v>15.182619918998164</v>
      </c>
      <c r="I65" s="27">
        <v>241.72728119000001</v>
      </c>
      <c r="J65" s="27">
        <f t="shared" si="43"/>
        <v>3.9862858490100397</v>
      </c>
      <c r="K65" s="27">
        <v>421.01543251999999</v>
      </c>
      <c r="L65" s="27">
        <f t="shared" si="43"/>
        <v>6.9428980155126414</v>
      </c>
      <c r="M65" s="27">
        <v>361.30599027</v>
      </c>
      <c r="N65" s="27">
        <f t="shared" si="43"/>
        <v>5.958239173855576</v>
      </c>
      <c r="O65" s="27">
        <v>342.49756350000001</v>
      </c>
      <c r="P65" s="27">
        <f t="shared" si="43"/>
        <v>5.6480724226875072</v>
      </c>
      <c r="Q65" s="27">
        <v>2122.9451715199998</v>
      </c>
      <c r="R65" s="27">
        <f t="shared" si="43"/>
        <v>35.00914854870117</v>
      </c>
      <c r="S65" s="27">
        <v>191.91901999999999</v>
      </c>
      <c r="T65" s="27">
        <f t="shared" si="43"/>
        <v>3.1649057972093053</v>
      </c>
      <c r="U65" s="27">
        <v>7.6822537400000002</v>
      </c>
      <c r="V65" s="27">
        <f t="shared" si="44"/>
        <v>0.12668681508148003</v>
      </c>
      <c r="W65" s="27">
        <v>0.18036930000000001</v>
      </c>
      <c r="X65" s="27">
        <f t="shared" si="27"/>
        <v>2.9744412159283867E-3</v>
      </c>
      <c r="Y65" s="30">
        <f t="shared" si="9"/>
        <v>21.468223629998882</v>
      </c>
      <c r="Z65" s="27">
        <f t="shared" si="45"/>
        <v>0.35402903486256471</v>
      </c>
      <c r="AA65" s="31">
        <v>25.768725679999999</v>
      </c>
      <c r="AB65" s="31">
        <f t="shared" si="46"/>
        <v>0.4249479248660622</v>
      </c>
      <c r="AC65" s="31">
        <v>3.47230908</v>
      </c>
      <c r="AD65" s="31">
        <f t="shared" si="47"/>
        <v>5.7261292481560755E-2</v>
      </c>
      <c r="AE65" s="31">
        <v>6.0095681000000001</v>
      </c>
      <c r="AF65" s="31">
        <f t="shared" si="47"/>
        <v>9.9102824297529826E-2</v>
      </c>
      <c r="AG65" s="31">
        <v>13.579422080000001</v>
      </c>
      <c r="AH65" s="31">
        <f t="shared" si="48"/>
        <v>0.22393607295276957</v>
      </c>
      <c r="AI65" s="27">
        <v>160.98538593000001</v>
      </c>
    </row>
    <row r="66" spans="1:35" hidden="1" x14ac:dyDescent="0.25">
      <c r="A66" s="29" t="s">
        <v>55</v>
      </c>
      <c r="B66" s="27">
        <v>6166.4532703000004</v>
      </c>
      <c r="C66" s="27">
        <v>99.892589330000007</v>
      </c>
      <c r="D66" s="27">
        <f t="shared" si="43"/>
        <v>1.6199358845565399</v>
      </c>
      <c r="E66" s="27">
        <v>1501.2851055599999</v>
      </c>
      <c r="F66" s="27">
        <f t="shared" si="43"/>
        <v>24.346006363021736</v>
      </c>
      <c r="G66" s="27">
        <v>899.25081998999997</v>
      </c>
      <c r="H66" s="27">
        <f t="shared" si="43"/>
        <v>14.582950369885006</v>
      </c>
      <c r="I66" s="27">
        <v>242.48630402000001</v>
      </c>
      <c r="J66" s="27">
        <f t="shared" si="43"/>
        <v>3.9323464135844</v>
      </c>
      <c r="K66" s="27">
        <v>455.96720755000001</v>
      </c>
      <c r="L66" s="27">
        <f t="shared" si="43"/>
        <v>7.3943187041749372</v>
      </c>
      <c r="M66" s="27">
        <v>364.9557858</v>
      </c>
      <c r="N66" s="27">
        <f t="shared" si="43"/>
        <v>5.9184067372693274</v>
      </c>
      <c r="O66" s="27">
        <v>359.87672910999999</v>
      </c>
      <c r="P66" s="27">
        <f t="shared" si="43"/>
        <v>5.8360408055519386</v>
      </c>
      <c r="Q66" s="27">
        <v>2171.2534645400001</v>
      </c>
      <c r="R66" s="27">
        <f t="shared" si="43"/>
        <v>35.210734102171628</v>
      </c>
      <c r="S66" s="27">
        <v>203.59516396000001</v>
      </c>
      <c r="T66" s="27">
        <f t="shared" si="43"/>
        <v>3.3016574526007072</v>
      </c>
      <c r="U66" s="27">
        <v>7.6234925499999999</v>
      </c>
      <c r="V66" s="27">
        <f t="shared" si="44"/>
        <v>0.12362848165440024</v>
      </c>
      <c r="W66" s="27">
        <v>1.46894787</v>
      </c>
      <c r="X66" s="27">
        <f t="shared" si="27"/>
        <v>2.3821600612381436E-2</v>
      </c>
      <c r="Y66" s="30">
        <f t="shared" si="9"/>
        <v>18.864423700000494</v>
      </c>
      <c r="Z66" s="27">
        <f t="shared" si="45"/>
        <v>0.30592015982442905</v>
      </c>
      <c r="AA66" s="31">
        <v>26.342192600000001</v>
      </c>
      <c r="AB66" s="31">
        <f t="shared" si="46"/>
        <v>0.42718547348561103</v>
      </c>
      <c r="AC66" s="31">
        <v>3.6220376299999999</v>
      </c>
      <c r="AD66" s="31">
        <f t="shared" si="47"/>
        <v>5.8737777961362654E-2</v>
      </c>
      <c r="AE66" s="31">
        <v>0.94044083999999994</v>
      </c>
      <c r="AF66" s="31">
        <f t="shared" si="47"/>
        <v>1.5250919755275259E-2</v>
      </c>
      <c r="AG66" s="31">
        <v>12.62372921</v>
      </c>
      <c r="AH66" s="31">
        <f t="shared" si="48"/>
        <v>0.20471620649102643</v>
      </c>
      <c r="AI66" s="27">
        <v>164.03330973999999</v>
      </c>
    </row>
    <row r="67" spans="1:35" hidden="1" x14ac:dyDescent="0.25">
      <c r="A67" s="29" t="s">
        <v>56</v>
      </c>
      <c r="B67" s="27">
        <v>6361.5449279599998</v>
      </c>
      <c r="C67" s="27">
        <v>109.28017438000001</v>
      </c>
      <c r="D67" s="27">
        <f t="shared" si="43"/>
        <v>1.7178244532974416</v>
      </c>
      <c r="E67" s="27">
        <v>1544.5550000000001</v>
      </c>
      <c r="F67" s="27">
        <f t="shared" si="43"/>
        <v>24.279558149647514</v>
      </c>
      <c r="G67" s="27">
        <v>847.40220439999996</v>
      </c>
      <c r="H67" s="27">
        <f t="shared" si="43"/>
        <v>13.320698257989703</v>
      </c>
      <c r="I67" s="27">
        <v>247.50899999999999</v>
      </c>
      <c r="J67" s="27">
        <f t="shared" si="43"/>
        <v>3.8907058395855803</v>
      </c>
      <c r="K67" s="27">
        <v>477.30700000000002</v>
      </c>
      <c r="L67" s="27">
        <f t="shared" si="43"/>
        <v>7.5030044651914665</v>
      </c>
      <c r="M67" s="27">
        <v>380.56599999999997</v>
      </c>
      <c r="N67" s="27">
        <f t="shared" si="43"/>
        <v>5.9822889614023156</v>
      </c>
      <c r="O67" s="27">
        <v>362.44132743</v>
      </c>
      <c r="P67" s="27">
        <f t="shared" si="43"/>
        <v>5.6973790413239529</v>
      </c>
      <c r="Q67" s="27">
        <v>2314.442</v>
      </c>
      <c r="R67" s="27">
        <f t="shared" si="43"/>
        <v>36.381759874518217</v>
      </c>
      <c r="S67" s="27">
        <v>164.88300000000001</v>
      </c>
      <c r="T67" s="27">
        <f t="shared" si="43"/>
        <v>2.5918704004637783</v>
      </c>
      <c r="U67" s="27">
        <v>7.57</v>
      </c>
      <c r="V67" s="27">
        <f t="shared" si="44"/>
        <v>0.11899625147232158</v>
      </c>
      <c r="W67" s="27">
        <v>0.46400000000000002</v>
      </c>
      <c r="X67" s="27">
        <f t="shared" si="27"/>
        <v>7.2938257177222214E-3</v>
      </c>
      <c r="Y67" s="30">
        <f t="shared" si="9"/>
        <v>20.638221749999563</v>
      </c>
      <c r="Z67" s="27">
        <f t="shared" si="45"/>
        <v>0.32442153570732951</v>
      </c>
      <c r="AA67" s="31">
        <v>32.5</v>
      </c>
      <c r="AB67" s="31">
        <f t="shared" si="46"/>
        <v>0.51088218928011242</v>
      </c>
      <c r="AC67" s="31">
        <v>0.26</v>
      </c>
      <c r="AD67" s="31">
        <f t="shared" si="47"/>
        <v>4.0870575142408997E-3</v>
      </c>
      <c r="AE67" s="31">
        <v>0.86799999999999999</v>
      </c>
      <c r="AF67" s="31">
        <f t="shared" si="47"/>
        <v>1.3644484316773465E-2</v>
      </c>
      <c r="AG67" s="31">
        <v>15.742000000000001</v>
      </c>
      <c r="AH67" s="31">
        <f t="shared" si="48"/>
        <v>0.24745561303530866</v>
      </c>
      <c r="AI67" s="27">
        <v>178.22800000000001</v>
      </c>
    </row>
    <row r="68" spans="1:35" hidden="1" x14ac:dyDescent="0.25">
      <c r="A68" s="29" t="s">
        <v>57</v>
      </c>
      <c r="B68" s="27">
        <v>6455.0339999999997</v>
      </c>
      <c r="C68" s="27">
        <v>122.87884366999999</v>
      </c>
      <c r="D68" s="27">
        <f t="shared" si="43"/>
        <v>1.9036126482060358</v>
      </c>
      <c r="E68" s="27">
        <v>1565.04141525</v>
      </c>
      <c r="F68" s="27">
        <f t="shared" si="43"/>
        <v>24.245285388891833</v>
      </c>
      <c r="G68" s="27">
        <v>793.67726954</v>
      </c>
      <c r="H68" s="27">
        <f t="shared" si="43"/>
        <v>12.295477754880919</v>
      </c>
      <c r="I68" s="27">
        <v>246.73682292000001</v>
      </c>
      <c r="J68" s="27">
        <f t="shared" si="43"/>
        <v>3.8223938544707901</v>
      </c>
      <c r="K68" s="27">
        <v>484.75122442000003</v>
      </c>
      <c r="L68" s="27">
        <f t="shared" si="43"/>
        <v>7.5096618301313365</v>
      </c>
      <c r="M68" s="27">
        <v>384.31110414</v>
      </c>
      <c r="N68" s="27">
        <f t="shared" si="43"/>
        <v>5.9536650641964091</v>
      </c>
      <c r="O68" s="27">
        <v>382.10543888000001</v>
      </c>
      <c r="P68" s="27">
        <f t="shared" si="43"/>
        <v>5.9194953718291803</v>
      </c>
      <c r="Q68" s="27">
        <v>2399.78801406</v>
      </c>
      <c r="R68" s="27">
        <f t="shared" si="43"/>
        <v>37.177000369943833</v>
      </c>
      <c r="S68" s="27">
        <v>207.53</v>
      </c>
      <c r="T68" s="27">
        <f t="shared" si="43"/>
        <v>3.2150101765536796</v>
      </c>
      <c r="U68" s="27">
        <v>7.5630374199999997</v>
      </c>
      <c r="V68" s="27">
        <f t="shared" si="44"/>
        <v>0.11716495095145897</v>
      </c>
      <c r="W68" s="27">
        <v>1.06413259</v>
      </c>
      <c r="X68" s="27">
        <f t="shared" si="27"/>
        <v>1.6485313477822117E-2</v>
      </c>
      <c r="Y68" s="30">
        <f t="shared" si="9"/>
        <v>20.732108210000135</v>
      </c>
      <c r="Z68" s="27">
        <f t="shared" si="45"/>
        <v>0.32117736653285073</v>
      </c>
      <c r="AA68" s="31">
        <v>32.794790120000002</v>
      </c>
      <c r="AB68" s="31">
        <f t="shared" si="46"/>
        <v>0.50804984326960956</v>
      </c>
      <c r="AC68" s="31">
        <v>0.14382</v>
      </c>
      <c r="AD68" s="31">
        <f t="shared" si="47"/>
        <v>2.2280285433043424E-3</v>
      </c>
      <c r="AE68" s="31">
        <v>0.80105466999999997</v>
      </c>
      <c r="AF68" s="31">
        <f t="shared" si="47"/>
        <v>1.2409766857928247E-2</v>
      </c>
      <c r="AG68" s="31">
        <v>12.64492411</v>
      </c>
      <c r="AH68" s="31">
        <f t="shared" si="48"/>
        <v>0.19589244781669626</v>
      </c>
      <c r="AI68" s="27">
        <v>149.28882658000001</v>
      </c>
    </row>
    <row r="69" spans="1:35" hidden="1" x14ac:dyDescent="0.25">
      <c r="A69" s="29" t="s">
        <v>58</v>
      </c>
      <c r="B69" s="27">
        <v>6604.7275165600004</v>
      </c>
      <c r="C69" s="27">
        <v>139.27907212</v>
      </c>
      <c r="D69" s="27">
        <f t="shared" si="43"/>
        <v>2.1087784737642283</v>
      </c>
      <c r="E69" s="27">
        <v>1579.10699843</v>
      </c>
      <c r="F69" s="27">
        <f t="shared" si="43"/>
        <v>23.908738013350479</v>
      </c>
      <c r="G69" s="27">
        <v>829.92823048000002</v>
      </c>
      <c r="H69" s="27">
        <f t="shared" si="43"/>
        <v>12.56566949051456</v>
      </c>
      <c r="I69" s="27">
        <v>253.46743577999999</v>
      </c>
      <c r="J69" s="27">
        <f t="shared" si="43"/>
        <v>3.83766680978863</v>
      </c>
      <c r="K69" s="27">
        <v>470.60682910000003</v>
      </c>
      <c r="L69" s="27">
        <f t="shared" si="43"/>
        <v>7.125302715669191</v>
      </c>
      <c r="M69" s="27">
        <v>399.78630048000002</v>
      </c>
      <c r="N69" s="27">
        <f t="shared" si="43"/>
        <v>6.0530324601222052</v>
      </c>
      <c r="O69" s="27">
        <v>400.90335019999998</v>
      </c>
      <c r="P69" s="27">
        <f t="shared" si="43"/>
        <v>6.0699453413455284</v>
      </c>
      <c r="Q69" s="27">
        <v>2433.3362617399998</v>
      </c>
      <c r="R69" s="27">
        <f t="shared" si="43"/>
        <v>36.842341423456276</v>
      </c>
      <c r="S69" s="27">
        <v>234.5933545</v>
      </c>
      <c r="T69" s="27">
        <f t="shared" si="43"/>
        <v>3.5519005729124364</v>
      </c>
      <c r="U69" s="27">
        <v>7.51917831</v>
      </c>
      <c r="V69" s="27">
        <f t="shared" si="44"/>
        <v>0.11384539772681312</v>
      </c>
      <c r="W69" s="27">
        <v>1.8069187799999999</v>
      </c>
      <c r="X69" s="27">
        <f t="shared" si="27"/>
        <v>2.7357961028210802E-2</v>
      </c>
      <c r="Y69" s="30">
        <f t="shared" si="9"/>
        <v>20.820132770000367</v>
      </c>
      <c r="Z69" s="27">
        <f t="shared" si="45"/>
        <v>0.31523076035760977</v>
      </c>
      <c r="AA69" s="31">
        <v>35.905372579999998</v>
      </c>
      <c r="AB69" s="31">
        <f t="shared" si="46"/>
        <v>0.54363139872121347</v>
      </c>
      <c r="AC69" s="31">
        <v>0.5448366</v>
      </c>
      <c r="AD69" s="31">
        <f t="shared" si="47"/>
        <v>8.249191183647378E-3</v>
      </c>
      <c r="AE69" s="31">
        <v>20.73649314</v>
      </c>
      <c r="AF69" s="31">
        <f t="shared" si="47"/>
        <v>0.31396440031791611</v>
      </c>
      <c r="AG69" s="31">
        <v>10.98010605</v>
      </c>
      <c r="AH69" s="31">
        <f t="shared" si="48"/>
        <v>0.16624616265348774</v>
      </c>
      <c r="AI69" s="27">
        <v>194.29485148000001</v>
      </c>
    </row>
    <row r="70" spans="1:35" hidden="1" x14ac:dyDescent="0.25">
      <c r="A70" s="29" t="s">
        <v>59</v>
      </c>
      <c r="B70" s="27">
        <v>6697.4756245500002</v>
      </c>
      <c r="C70" s="27">
        <v>142.62396127</v>
      </c>
      <c r="D70" s="27">
        <f t="shared" si="43"/>
        <v>2.1295181836452421</v>
      </c>
      <c r="E70" s="27">
        <v>1705.7200683799999</v>
      </c>
      <c r="F70" s="27">
        <f t="shared" si="43"/>
        <v>25.468104163419131</v>
      </c>
      <c r="G70" s="27">
        <v>810.59</v>
      </c>
      <c r="H70" s="27">
        <f t="shared" si="43"/>
        <v>12.102918255181603</v>
      </c>
      <c r="I70" s="27">
        <v>255.9</v>
      </c>
      <c r="J70" s="27">
        <f t="shared" si="43"/>
        <v>3.8208425733119973</v>
      </c>
      <c r="K70" s="27">
        <v>450.49</v>
      </c>
      <c r="L70" s="27">
        <f t="shared" si="43"/>
        <v>6.7262656148937934</v>
      </c>
      <c r="M70" s="27">
        <v>409.07799999999997</v>
      </c>
      <c r="N70" s="27">
        <f t="shared" si="43"/>
        <v>6.1079430957613337</v>
      </c>
      <c r="O70" s="27">
        <v>456.23</v>
      </c>
      <c r="P70" s="27">
        <f t="shared" si="43"/>
        <v>6.8119695475659743</v>
      </c>
      <c r="Q70" s="27">
        <v>2364.7800000000002</v>
      </c>
      <c r="R70" s="27">
        <f t="shared" si="43"/>
        <v>35.308527161065825</v>
      </c>
      <c r="S70" s="27">
        <v>204.565</v>
      </c>
      <c r="T70" s="27">
        <f t="shared" si="43"/>
        <v>3.0543597538474745</v>
      </c>
      <c r="U70" s="27">
        <v>7.3879999999999999</v>
      </c>
      <c r="V70" s="27">
        <f t="shared" si="44"/>
        <v>0.11031021856830417</v>
      </c>
      <c r="W70" s="27">
        <v>7.3000000000000001E-3</v>
      </c>
      <c r="X70" s="27">
        <f t="shared" si="27"/>
        <v>1.0899629068064704E-4</v>
      </c>
      <c r="Y70" s="30">
        <f t="shared" si="9"/>
        <v>18.1596111799991</v>
      </c>
      <c r="Z70" s="27">
        <f t="shared" si="45"/>
        <v>0.27114113134557671</v>
      </c>
      <c r="AA70" s="31">
        <v>37.347240749999997</v>
      </c>
      <c r="AB70" s="31">
        <f t="shared" si="46"/>
        <v>0.55763160395987765</v>
      </c>
      <c r="AC70" s="31">
        <v>0</v>
      </c>
      <c r="AD70" s="31">
        <f t="shared" si="47"/>
        <v>0</v>
      </c>
      <c r="AE70" s="31">
        <v>20.653561830000001</v>
      </c>
      <c r="AF70" s="31">
        <f t="shared" si="47"/>
        <v>0.30837830531690363</v>
      </c>
      <c r="AG70" s="31">
        <v>18.507881139999999</v>
      </c>
      <c r="AH70" s="31">
        <f t="shared" si="48"/>
        <v>0.27634114967374046</v>
      </c>
      <c r="AI70" s="27">
        <v>206.29377181999999</v>
      </c>
    </row>
    <row r="71" spans="1:35" hidden="1" x14ac:dyDescent="0.25">
      <c r="A71" s="29" t="s">
        <v>60</v>
      </c>
      <c r="B71" s="27">
        <v>6855.4556472699996</v>
      </c>
      <c r="C71" s="27">
        <v>145.30813495999999</v>
      </c>
      <c r="D71" s="27">
        <f t="shared" si="43"/>
        <v>2.1195984984289851</v>
      </c>
      <c r="E71" s="27">
        <v>1714.59734084</v>
      </c>
      <c r="F71" s="27">
        <f t="shared" si="43"/>
        <v>25.01069847228597</v>
      </c>
      <c r="G71" s="27">
        <v>812.32328261999999</v>
      </c>
      <c r="H71" s="27">
        <f t="shared" si="43"/>
        <v>11.84929674139874</v>
      </c>
      <c r="I71" s="27">
        <v>258.65031905000001</v>
      </c>
      <c r="J71" s="27">
        <f t="shared" si="43"/>
        <v>3.7729121499458689</v>
      </c>
      <c r="K71" s="27">
        <v>425.76389989</v>
      </c>
      <c r="L71" s="27">
        <f t="shared" si="43"/>
        <v>6.2105849967762392</v>
      </c>
      <c r="M71" s="27">
        <v>405.85523706999999</v>
      </c>
      <c r="N71" s="27">
        <f t="shared" si="43"/>
        <v>5.9201788758070499</v>
      </c>
      <c r="O71" s="27">
        <v>660.60453307</v>
      </c>
      <c r="P71" s="27">
        <f t="shared" si="43"/>
        <v>9.6361871049821168</v>
      </c>
      <c r="Q71" s="27">
        <v>2354.16707679</v>
      </c>
      <c r="R71" s="27">
        <f t="shared" si="43"/>
        <v>34.340052622577808</v>
      </c>
      <c r="S71" s="27">
        <v>221.87611999999999</v>
      </c>
      <c r="T71" s="27">
        <f t="shared" si="43"/>
        <v>3.2364897596318949</v>
      </c>
      <c r="U71" s="27">
        <v>7.5225318000000003</v>
      </c>
      <c r="V71" s="27">
        <f t="shared" si="44"/>
        <v>0.10973058811919592</v>
      </c>
      <c r="W71" s="27">
        <v>1.5377222800000001</v>
      </c>
      <c r="X71" s="27">
        <f>W71/$B71*100</f>
        <v>2.2430635673536252E-2</v>
      </c>
      <c r="Y71" s="30">
        <f t="shared" si="9"/>
        <v>18.625489380000673</v>
      </c>
      <c r="Z71" s="27">
        <f t="shared" si="45"/>
        <v>0.27168856948870745</v>
      </c>
      <c r="AA71" s="31">
        <v>37.142753120000002</v>
      </c>
      <c r="AB71" s="31">
        <f t="shared" si="46"/>
        <v>0.54179845995781617</v>
      </c>
      <c r="AC71" s="31">
        <v>0.104</v>
      </c>
      <c r="AD71" s="31">
        <f t="shared" si="47"/>
        <v>1.5170399365272706E-3</v>
      </c>
      <c r="AE71" s="31">
        <v>0.58181159000000005</v>
      </c>
      <c r="AF71" s="31">
        <f t="shared" si="47"/>
        <v>8.4868405535041391E-3</v>
      </c>
      <c r="AG71" s="31">
        <v>12.67151481</v>
      </c>
      <c r="AH71" s="31">
        <f t="shared" si="48"/>
        <v>0.18483840406794971</v>
      </c>
      <c r="AI71" s="27">
        <v>208.08587616</v>
      </c>
    </row>
    <row r="72" spans="1:35" hidden="1" x14ac:dyDescent="0.25">
      <c r="A72" s="29" t="s">
        <v>61</v>
      </c>
      <c r="B72" s="27">
        <v>7191.2507889600001</v>
      </c>
      <c r="C72" s="27">
        <v>159.79559122000001</v>
      </c>
      <c r="D72" s="27">
        <f t="shared" si="43"/>
        <v>2.2220834164943604</v>
      </c>
      <c r="E72" s="27">
        <v>1911.3072199400001</v>
      </c>
      <c r="F72" s="27">
        <f t="shared" si="43"/>
        <v>26.578230630952778</v>
      </c>
      <c r="G72" s="27">
        <v>855.69988688000001</v>
      </c>
      <c r="H72" s="27">
        <f t="shared" si="43"/>
        <v>11.899180156443293</v>
      </c>
      <c r="I72" s="27">
        <v>261.47057494000001</v>
      </c>
      <c r="J72" s="27">
        <f t="shared" si="43"/>
        <v>3.6359540588044754</v>
      </c>
      <c r="K72" s="27">
        <v>461.37206370000001</v>
      </c>
      <c r="L72" s="27">
        <f t="shared" si="43"/>
        <v>6.4157415342585162</v>
      </c>
      <c r="M72" s="27">
        <v>427.51873171</v>
      </c>
      <c r="N72" s="27">
        <f t="shared" si="43"/>
        <v>5.9449843185322679</v>
      </c>
      <c r="O72" s="27">
        <v>669.11947628999997</v>
      </c>
      <c r="P72" s="27">
        <f t="shared" si="43"/>
        <v>9.3046327534179643</v>
      </c>
      <c r="Q72" s="27">
        <v>2334.86644867</v>
      </c>
      <c r="R72" s="27">
        <f t="shared" si="43"/>
        <v>32.468154945374508</v>
      </c>
      <c r="S72" s="27">
        <v>197.62110000000001</v>
      </c>
      <c r="T72" s="27">
        <f t="shared" si="43"/>
        <v>2.7480768756304217</v>
      </c>
      <c r="U72" s="27">
        <v>7.0910000000000002</v>
      </c>
      <c r="V72" s="27">
        <f t="shared" si="44"/>
        <v>9.8605933906325383E-2</v>
      </c>
      <c r="W72" s="27">
        <v>0.57177211999999999</v>
      </c>
      <c r="X72" s="27">
        <f>W72/$B72*100</f>
        <v>7.9509411753207644E-3</v>
      </c>
      <c r="Y72" s="30">
        <f t="shared" si="9"/>
        <v>48.079620780000333</v>
      </c>
      <c r="Z72" s="27">
        <f t="shared" si="45"/>
        <v>0.66858495400844742</v>
      </c>
      <c r="AA72" s="31">
        <v>43.629224700000002</v>
      </c>
      <c r="AB72" s="31">
        <f t="shared" si="46"/>
        <v>0.60669869512796759</v>
      </c>
      <c r="AC72" s="31">
        <v>0</v>
      </c>
      <c r="AD72" s="31">
        <f t="shared" si="47"/>
        <v>0</v>
      </c>
      <c r="AE72" s="31">
        <v>0.51973062000000003</v>
      </c>
      <c r="AF72" s="31">
        <f t="shared" si="47"/>
        <v>7.2272631737150634E-3</v>
      </c>
      <c r="AG72" s="31">
        <v>10.209447389999999</v>
      </c>
      <c r="AH72" s="31">
        <f t="shared" si="48"/>
        <v>0.14197039833005867</v>
      </c>
      <c r="AI72" s="27">
        <v>180.59689255999999</v>
      </c>
    </row>
    <row r="73" spans="1:35" x14ac:dyDescent="0.25">
      <c r="A73" s="29" t="s">
        <v>62</v>
      </c>
      <c r="B73" s="27">
        <f>+B85</f>
        <v>8407.4600296200006</v>
      </c>
      <c r="C73" s="27">
        <f t="shared" ref="C73:AI73" si="49">+C85</f>
        <v>303.52331758999998</v>
      </c>
      <c r="D73" s="27">
        <f t="shared" si="49"/>
        <v>3.6101666439170526</v>
      </c>
      <c r="E73" s="27">
        <f t="shared" si="49"/>
        <v>1833.9755674099999</v>
      </c>
      <c r="F73" s="27">
        <f t="shared" si="49"/>
        <v>21.813669775994068</v>
      </c>
      <c r="G73" s="27">
        <f t="shared" si="49"/>
        <v>1521.9513809699999</v>
      </c>
      <c r="H73" s="27">
        <f t="shared" si="49"/>
        <v>18.1023921090088</v>
      </c>
      <c r="I73" s="27">
        <f t="shared" si="49"/>
        <v>394.76353073000001</v>
      </c>
      <c r="J73" s="27">
        <f t="shared" si="49"/>
        <v>4.6953958667567104</v>
      </c>
      <c r="K73" s="27">
        <f t="shared" si="49"/>
        <v>576.51455678000002</v>
      </c>
      <c r="L73" s="27">
        <f t="shared" si="49"/>
        <v>6.8571786811819937</v>
      </c>
      <c r="M73" s="27">
        <f t="shared" si="49"/>
        <v>536.86002767000002</v>
      </c>
      <c r="N73" s="27">
        <f t="shared" si="49"/>
        <v>6.3855198333219425</v>
      </c>
      <c r="O73" s="27">
        <f t="shared" si="49"/>
        <v>520.36061713000004</v>
      </c>
      <c r="P73" s="27">
        <f t="shared" si="49"/>
        <v>6.1892725662297225</v>
      </c>
      <c r="Q73" s="27">
        <f t="shared" si="49"/>
        <v>2328.94564223</v>
      </c>
      <c r="R73" s="27">
        <f t="shared" si="49"/>
        <v>27.700942187354809</v>
      </c>
      <c r="S73" s="27">
        <f t="shared" si="49"/>
        <v>254.60599999999999</v>
      </c>
      <c r="T73" s="27">
        <f t="shared" si="49"/>
        <v>3.0283343495301476</v>
      </c>
      <c r="U73" s="27">
        <f t="shared" si="49"/>
        <v>0.99526274999999997</v>
      </c>
      <c r="V73" s="27">
        <f t="shared" si="49"/>
        <v>1.1837852888906137E-2</v>
      </c>
      <c r="W73" s="27">
        <f t="shared" si="49"/>
        <v>0.60261160000000003</v>
      </c>
      <c r="X73" s="27">
        <f t="shared" si="49"/>
        <v>7.1675820982432525E-3</v>
      </c>
      <c r="Y73" s="27">
        <f t="shared" si="9"/>
        <v>57.50058646000069</v>
      </c>
      <c r="Z73" s="27">
        <f t="shared" si="49"/>
        <v>0.68392339966437632</v>
      </c>
      <c r="AA73" s="27">
        <f t="shared" si="49"/>
        <v>284.51366710000002</v>
      </c>
      <c r="AB73" s="27">
        <f t="shared" si="49"/>
        <v>3.3840620841210165</v>
      </c>
      <c r="AC73" s="27">
        <f t="shared" si="49"/>
        <v>18.522100099999999</v>
      </c>
      <c r="AD73" s="27">
        <f t="shared" si="49"/>
        <v>0.22030553859007951</v>
      </c>
      <c r="AE73" s="27">
        <f t="shared" si="49"/>
        <v>19.77260862</v>
      </c>
      <c r="AF73" s="27">
        <f t="shared" si="49"/>
        <v>0.23517933538000629</v>
      </c>
      <c r="AG73" s="27">
        <f t="shared" si="49"/>
        <v>8.6585524800000009</v>
      </c>
      <c r="AH73" s="27">
        <f t="shared" si="49"/>
        <v>0.10298654349227218</v>
      </c>
      <c r="AI73" s="27">
        <f t="shared" si="49"/>
        <v>165.64595686000001</v>
      </c>
    </row>
    <row r="74" spans="1:35" hidden="1" x14ac:dyDescent="0.25">
      <c r="A74" s="29" t="s">
        <v>50</v>
      </c>
      <c r="B74" s="21">
        <v>7201.2873153199998</v>
      </c>
      <c r="C74" s="21">
        <v>176.529</v>
      </c>
      <c r="D74" s="21">
        <f t="shared" ref="D74:R74" si="50">C74/$B74*100</f>
        <v>2.4513533798943512</v>
      </c>
      <c r="E74" s="21">
        <v>1764.11477079</v>
      </c>
      <c r="F74" s="21">
        <f t="shared" si="50"/>
        <v>24.497214088889731</v>
      </c>
      <c r="G74" s="21">
        <v>858.62995147000004</v>
      </c>
      <c r="H74" s="21">
        <f t="shared" si="50"/>
        <v>11.923284183417497</v>
      </c>
      <c r="I74" s="21">
        <v>262.52775550000001</v>
      </c>
      <c r="J74" s="21">
        <f t="shared" si="50"/>
        <v>3.6455670216281906</v>
      </c>
      <c r="K74" s="21">
        <v>463.44670269</v>
      </c>
      <c r="L74" s="21">
        <f t="shared" si="50"/>
        <v>6.4356091126105284</v>
      </c>
      <c r="M74" s="21">
        <v>395.71614741000002</v>
      </c>
      <c r="N74" s="21">
        <f t="shared" si="50"/>
        <v>5.4950751175856363</v>
      </c>
      <c r="O74" s="21">
        <v>675.50810476000004</v>
      </c>
      <c r="P74" s="21">
        <f t="shared" si="50"/>
        <v>9.38037985684762</v>
      </c>
      <c r="Q74" s="21">
        <v>2312.5425082500001</v>
      </c>
      <c r="R74" s="21">
        <f t="shared" si="50"/>
        <v>32.112904359895531</v>
      </c>
      <c r="S74" s="21">
        <v>188.03299999999999</v>
      </c>
      <c r="T74" s="21">
        <f t="shared" ref="D74:T85" si="51">S74/$B74*100</f>
        <v>2.6111025955037106</v>
      </c>
      <c r="U74" s="21">
        <v>1.92298262</v>
      </c>
      <c r="V74" s="21">
        <f t="shared" ref="V74:V85" si="52">U74/$B74*100</f>
        <v>2.6703317556974176E-2</v>
      </c>
      <c r="W74" s="21">
        <v>0.46320809000000002</v>
      </c>
      <c r="X74" s="21">
        <f t="shared" ref="X74:X85" si="53">W74/$B74*100</f>
        <v>6.4322956398999995E-3</v>
      </c>
      <c r="Y74" s="33">
        <f t="shared" si="9"/>
        <v>70.212857099998459</v>
      </c>
      <c r="Z74" s="21">
        <f t="shared" ref="Z74:Z85" si="54">Y74/$B74*100</f>
        <v>0.97500424612454795</v>
      </c>
      <c r="AA74" s="34">
        <v>187.79027335999999</v>
      </c>
      <c r="AB74" s="34">
        <f t="shared" ref="AB74:AB85" si="55">AA74/B74*100</f>
        <v>2.6077319948128643</v>
      </c>
      <c r="AC74" s="34">
        <v>0</v>
      </c>
      <c r="AD74" s="34">
        <f t="shared" ref="AD74:AF85" si="56">AC74/$B74*100</f>
        <v>0</v>
      </c>
      <c r="AE74" s="34">
        <v>0.45783354999999998</v>
      </c>
      <c r="AF74" s="34">
        <f t="shared" si="56"/>
        <v>6.3576625949364092E-3</v>
      </c>
      <c r="AG74" s="34">
        <v>31.425219729999998</v>
      </c>
      <c r="AH74" s="34">
        <f t="shared" ref="AH74:AH85" si="57">AG74/$B74*100</f>
        <v>0.43638336250167475</v>
      </c>
      <c r="AI74" s="21">
        <v>175.34764465999999</v>
      </c>
    </row>
    <row r="75" spans="1:35" hidden="1" x14ac:dyDescent="0.25">
      <c r="A75" s="29" t="s">
        <v>51</v>
      </c>
      <c r="B75" s="21">
        <v>6692.53476133</v>
      </c>
      <c r="C75" s="21">
        <v>183.41390215000001</v>
      </c>
      <c r="D75" s="21">
        <f t="shared" si="51"/>
        <v>2.7405745160978494</v>
      </c>
      <c r="E75" s="21">
        <v>1549.0660861199999</v>
      </c>
      <c r="F75" s="21">
        <f t="shared" si="51"/>
        <v>23.146179158763992</v>
      </c>
      <c r="G75" s="21">
        <v>870.70990109000002</v>
      </c>
      <c r="H75" s="21">
        <f t="shared" si="51"/>
        <v>13.010166284395433</v>
      </c>
      <c r="I75" s="21">
        <v>262.42740742000001</v>
      </c>
      <c r="J75" s="21">
        <f t="shared" si="51"/>
        <v>3.9211960307823355</v>
      </c>
      <c r="K75" s="21">
        <v>448.47154315</v>
      </c>
      <c r="L75" s="21">
        <f t="shared" si="51"/>
        <v>6.7010715542533212</v>
      </c>
      <c r="M75" s="21">
        <v>398.48502414000001</v>
      </c>
      <c r="N75" s="21">
        <f t="shared" si="51"/>
        <v>5.9541718997483324</v>
      </c>
      <c r="O75" s="21">
        <v>400.64072320999998</v>
      </c>
      <c r="P75" s="21">
        <f t="shared" si="51"/>
        <v>5.986382402149542</v>
      </c>
      <c r="Q75" s="21">
        <v>2290.0150046499998</v>
      </c>
      <c r="R75" s="21">
        <f t="shared" si="51"/>
        <v>34.217454018795529</v>
      </c>
      <c r="S75" s="21">
        <v>201.46652680599999</v>
      </c>
      <c r="T75" s="21">
        <f t="shared" si="51"/>
        <v>3.0103172264429561</v>
      </c>
      <c r="U75" s="21">
        <v>1.7143286900000001</v>
      </c>
      <c r="V75" s="21">
        <f t="shared" si="52"/>
        <v>2.5615536581229701E-2</v>
      </c>
      <c r="W75" s="21">
        <v>0.74971105999999998</v>
      </c>
      <c r="X75" s="21">
        <f t="shared" si="53"/>
        <v>1.1202198968496814E-2</v>
      </c>
      <c r="Y75" s="33">
        <f t="shared" si="9"/>
        <v>69.273464080000764</v>
      </c>
      <c r="Z75" s="21">
        <f t="shared" si="54"/>
        <v>1.0350856073287564</v>
      </c>
      <c r="AA75" s="34">
        <v>200.66325956</v>
      </c>
      <c r="AB75" s="34">
        <f t="shared" si="55"/>
        <v>2.9983147897781319</v>
      </c>
      <c r="AC75" s="34">
        <v>0</v>
      </c>
      <c r="AD75" s="34">
        <f t="shared" si="56"/>
        <v>0</v>
      </c>
      <c r="AE75" s="34">
        <v>0.41473585000000002</v>
      </c>
      <c r="AF75" s="34">
        <f t="shared" si="56"/>
        <v>6.1969920932854446E-3</v>
      </c>
      <c r="AG75" s="34">
        <v>16.489670159999999</v>
      </c>
      <c r="AH75" s="34">
        <f t="shared" si="57"/>
        <v>0.24638901026377374</v>
      </c>
      <c r="AI75" s="21">
        <v>173.03939639999999</v>
      </c>
    </row>
    <row r="76" spans="1:35" hidden="1" x14ac:dyDescent="0.25">
      <c r="A76" s="29" t="s">
        <v>52</v>
      </c>
      <c r="B76" s="21">
        <v>6221.28788678</v>
      </c>
      <c r="C76" s="21">
        <v>195.86626412000001</v>
      </c>
      <c r="D76" s="21">
        <f t="shared" si="51"/>
        <v>3.1483234289190887</v>
      </c>
      <c r="E76" s="21">
        <v>1268.7166515199999</v>
      </c>
      <c r="F76" s="21">
        <f t="shared" si="51"/>
        <v>20.393151299363183</v>
      </c>
      <c r="G76" s="21">
        <v>335.00216590999997</v>
      </c>
      <c r="H76" s="21">
        <f t="shared" si="51"/>
        <v>5.3847719637258198</v>
      </c>
      <c r="I76" s="21">
        <v>349.3304594</v>
      </c>
      <c r="J76" s="21">
        <f t="shared" si="51"/>
        <v>5.6150826928024653</v>
      </c>
      <c r="K76" s="21">
        <v>626.77369734000001</v>
      </c>
      <c r="L76" s="21">
        <f t="shared" si="51"/>
        <v>10.074661529035978</v>
      </c>
      <c r="M76" s="21">
        <v>466.20425289999997</v>
      </c>
      <c r="N76" s="21">
        <f t="shared" si="51"/>
        <v>7.49369361110368</v>
      </c>
      <c r="O76" s="21">
        <v>416.63064349000001</v>
      </c>
      <c r="P76" s="21">
        <f t="shared" si="51"/>
        <v>6.6968552343530714</v>
      </c>
      <c r="Q76" s="21">
        <v>2269.31217595</v>
      </c>
      <c r="R76" s="21">
        <f t="shared" si="51"/>
        <v>36.476565901606996</v>
      </c>
      <c r="S76" s="21">
        <v>189.75200000000001</v>
      </c>
      <c r="T76" s="21">
        <f t="shared" si="51"/>
        <v>3.0500437120618673</v>
      </c>
      <c r="U76" s="21">
        <v>1.1852814599999999</v>
      </c>
      <c r="V76" s="21">
        <f t="shared" si="52"/>
        <v>1.9052027193897873E-2</v>
      </c>
      <c r="W76" s="21">
        <v>0.48225227999999998</v>
      </c>
      <c r="X76" s="21">
        <f t="shared" si="53"/>
        <v>7.7516470669162845E-3</v>
      </c>
      <c r="Y76" s="33">
        <f t="shared" si="9"/>
        <v>68.822733460000151</v>
      </c>
      <c r="Z76" s="21">
        <f t="shared" si="54"/>
        <v>1.1062457599212832</v>
      </c>
      <c r="AA76" s="34">
        <v>209.37142047</v>
      </c>
      <c r="AB76" s="34">
        <f t="shared" si="55"/>
        <v>3.3654031814683627</v>
      </c>
      <c r="AC76" s="34">
        <v>0</v>
      </c>
      <c r="AD76" s="34">
        <f t="shared" si="56"/>
        <v>0</v>
      </c>
      <c r="AE76" s="34">
        <v>0.33833224000000001</v>
      </c>
      <c r="AF76" s="34">
        <f t="shared" si="56"/>
        <v>5.4382990492843637E-3</v>
      </c>
      <c r="AG76" s="34">
        <v>13.251556239999999</v>
      </c>
      <c r="AH76" s="34">
        <f t="shared" si="57"/>
        <v>0.21300342438997322</v>
      </c>
      <c r="AI76" s="21">
        <v>178.17091561999999</v>
      </c>
    </row>
    <row r="77" spans="1:35" hidden="1" x14ac:dyDescent="0.25">
      <c r="A77" s="29" t="s">
        <v>53</v>
      </c>
      <c r="B77" s="21">
        <v>6278.4440000000004</v>
      </c>
      <c r="C77" s="21">
        <v>200.804</v>
      </c>
      <c r="D77" s="21">
        <f t="shared" si="51"/>
        <v>3.1983083706727333</v>
      </c>
      <c r="E77" s="21">
        <v>1263.835</v>
      </c>
      <c r="F77" s="21">
        <f t="shared" si="51"/>
        <v>20.129748708437951</v>
      </c>
      <c r="G77" s="21">
        <v>344.18700000000001</v>
      </c>
      <c r="H77" s="21">
        <f t="shared" si="51"/>
        <v>5.4820430030115741</v>
      </c>
      <c r="I77" s="21">
        <v>353.48200000000003</v>
      </c>
      <c r="J77" s="21">
        <f t="shared" si="51"/>
        <v>5.6300892386712373</v>
      </c>
      <c r="K77" s="21">
        <v>645.95299999999997</v>
      </c>
      <c r="L77" s="21">
        <f t="shared" si="51"/>
        <v>10.288424966440729</v>
      </c>
      <c r="M77" s="21">
        <v>499.70100000000002</v>
      </c>
      <c r="N77" s="21">
        <f t="shared" si="51"/>
        <v>7.9589942985873572</v>
      </c>
      <c r="O77" s="21">
        <v>424.25900000000001</v>
      </c>
      <c r="P77" s="21">
        <f t="shared" si="51"/>
        <v>6.7573908439734431</v>
      </c>
      <c r="Q77" s="21">
        <v>2251.4749999999999</v>
      </c>
      <c r="R77" s="21">
        <f t="shared" si="51"/>
        <v>35.860397894765008</v>
      </c>
      <c r="S77" s="21">
        <v>196.1</v>
      </c>
      <c r="T77" s="21">
        <f t="shared" si="51"/>
        <v>3.1233853483442706</v>
      </c>
      <c r="U77" s="21">
        <v>1.194</v>
      </c>
      <c r="V77" s="21">
        <f t="shared" si="52"/>
        <v>1.9017450820617336E-2</v>
      </c>
      <c r="W77" s="21">
        <v>0.69799999999999995</v>
      </c>
      <c r="X77" s="21">
        <f t="shared" si="53"/>
        <v>1.1117404248568592E-2</v>
      </c>
      <c r="Y77" s="33">
        <f t="shared" si="9"/>
        <v>65.936000000000618</v>
      </c>
      <c r="Z77" s="21">
        <f t="shared" si="54"/>
        <v>1.0501965136584894</v>
      </c>
      <c r="AA77" s="34">
        <v>214.89500000000001</v>
      </c>
      <c r="AB77" s="34">
        <f t="shared" si="55"/>
        <v>3.422742959879868</v>
      </c>
      <c r="AC77" s="34">
        <v>0</v>
      </c>
      <c r="AD77" s="34">
        <f t="shared" si="56"/>
        <v>0</v>
      </c>
      <c r="AE77" s="34">
        <v>0.30299999999999999</v>
      </c>
      <c r="AF77" s="34">
        <f t="shared" si="56"/>
        <v>4.8260365147797767E-3</v>
      </c>
      <c r="AG77" s="34">
        <v>11.722</v>
      </c>
      <c r="AH77" s="34">
        <f t="shared" si="57"/>
        <v>0.18670231031765194</v>
      </c>
      <c r="AI77" s="21">
        <v>175.39160000000001</v>
      </c>
    </row>
    <row r="78" spans="1:35" hidden="1" x14ac:dyDescent="0.25">
      <c r="A78" s="29" t="s">
        <v>54</v>
      </c>
      <c r="B78" s="21">
        <v>6355.9960000000001</v>
      </c>
      <c r="C78" s="21">
        <v>209.21199999999999</v>
      </c>
      <c r="D78" s="21">
        <f t="shared" si="51"/>
        <v>3.2915690947571394</v>
      </c>
      <c r="E78" s="21">
        <v>1297.3109999999999</v>
      </c>
      <c r="F78" s="21">
        <f t="shared" si="51"/>
        <v>20.410821529780694</v>
      </c>
      <c r="G78" s="21">
        <v>334.96800000000002</v>
      </c>
      <c r="H78" s="21">
        <f t="shared" si="51"/>
        <v>5.2701103021461941</v>
      </c>
      <c r="I78" s="21">
        <v>353.62599999999998</v>
      </c>
      <c r="J78" s="21">
        <f t="shared" si="51"/>
        <v>5.5636598890244731</v>
      </c>
      <c r="K78" s="21">
        <v>646.05399999999997</v>
      </c>
      <c r="L78" s="21">
        <f t="shared" si="51"/>
        <v>10.164480909050289</v>
      </c>
      <c r="M78" s="21">
        <v>509.94200000000001</v>
      </c>
      <c r="N78" s="21">
        <f t="shared" si="51"/>
        <v>8.0230069370717043</v>
      </c>
      <c r="O78" s="21">
        <v>439.92500000000001</v>
      </c>
      <c r="P78" s="21">
        <f t="shared" si="51"/>
        <v>6.9214171940951505</v>
      </c>
      <c r="Q78" s="21">
        <v>2264.7130000000002</v>
      </c>
      <c r="R78" s="21">
        <f t="shared" si="51"/>
        <v>35.631126891835677</v>
      </c>
      <c r="S78" s="21">
        <v>192.8</v>
      </c>
      <c r="T78" s="21">
        <f t="shared" si="51"/>
        <v>3.0333562198591695</v>
      </c>
      <c r="U78" s="21">
        <v>1.19</v>
      </c>
      <c r="V78" s="21">
        <f t="shared" si="52"/>
        <v>1.8722478742906695E-2</v>
      </c>
      <c r="W78" s="21">
        <v>0.59499999999999997</v>
      </c>
      <c r="X78" s="21">
        <f t="shared" si="53"/>
        <v>9.3612393714533476E-3</v>
      </c>
      <c r="Y78" s="33">
        <f t="shared" si="9"/>
        <v>65.193999999999647</v>
      </c>
      <c r="Z78" s="21">
        <f t="shared" si="54"/>
        <v>1.0257086379538256</v>
      </c>
      <c r="AA78" s="21">
        <v>226.36099999999999</v>
      </c>
      <c r="AB78" s="34">
        <f t="shared" si="55"/>
        <v>3.5613773199353806</v>
      </c>
      <c r="AC78" s="21">
        <v>0</v>
      </c>
      <c r="AD78" s="34">
        <f t="shared" si="56"/>
        <v>0</v>
      </c>
      <c r="AE78" s="21">
        <v>0.255</v>
      </c>
      <c r="AF78" s="34">
        <f t="shared" si="56"/>
        <v>4.0119597306228641E-3</v>
      </c>
      <c r="AG78" s="21">
        <v>6.65</v>
      </c>
      <c r="AH78" s="34">
        <f t="shared" si="57"/>
        <v>0.10462561650447862</v>
      </c>
      <c r="AI78" s="21">
        <v>168.51179999999999</v>
      </c>
    </row>
    <row r="79" spans="1:35" hidden="1" x14ac:dyDescent="0.25">
      <c r="A79" s="29" t="s">
        <v>55</v>
      </c>
      <c r="B79" s="21">
        <v>6463.7888553100001</v>
      </c>
      <c r="C79" s="21">
        <v>242.75732969000001</v>
      </c>
      <c r="D79" s="21">
        <f t="shared" si="51"/>
        <v>3.7556506736845985</v>
      </c>
      <c r="E79" s="21">
        <v>1343.3826448100001</v>
      </c>
      <c r="F79" s="21">
        <f t="shared" si="51"/>
        <v>20.783207417216477</v>
      </c>
      <c r="G79" s="21">
        <v>326.05263753000003</v>
      </c>
      <c r="H79" s="21">
        <f t="shared" si="51"/>
        <v>5.0442959203741307</v>
      </c>
      <c r="I79" s="21">
        <v>360.33966820000001</v>
      </c>
      <c r="J79" s="21">
        <f t="shared" si="51"/>
        <v>5.5747437960319681</v>
      </c>
      <c r="K79" s="21">
        <v>644.33418963999998</v>
      </c>
      <c r="L79" s="21">
        <f t="shared" si="51"/>
        <v>9.9683669139452125</v>
      </c>
      <c r="M79" s="21">
        <v>518.96311118000006</v>
      </c>
      <c r="N79" s="21">
        <f t="shared" si="51"/>
        <v>8.0287757350500719</v>
      </c>
      <c r="O79" s="21">
        <v>462.12912175999998</v>
      </c>
      <c r="P79" s="21">
        <f t="shared" si="51"/>
        <v>7.1495083163238089</v>
      </c>
      <c r="Q79" s="21">
        <v>2242.2699662199998</v>
      </c>
      <c r="R79" s="21">
        <f t="shared" si="51"/>
        <v>34.689715527727607</v>
      </c>
      <c r="S79" s="21">
        <v>192.2927</v>
      </c>
      <c r="T79" s="21">
        <f t="shared" si="51"/>
        <v>2.9749223606218451</v>
      </c>
      <c r="U79" s="21">
        <v>1.15723076</v>
      </c>
      <c r="V79" s="21"/>
      <c r="W79" s="21">
        <v>0.60005392999999996</v>
      </c>
      <c r="X79" s="21">
        <f t="shared" si="53"/>
        <v>9.2833157677645346E-3</v>
      </c>
      <c r="Y79" s="33">
        <f t="shared" si="9"/>
        <v>64.685343370000979</v>
      </c>
      <c r="Z79" s="21">
        <f t="shared" si="54"/>
        <v>1.000734164094206</v>
      </c>
      <c r="AA79" s="21">
        <v>236.34572392000001</v>
      </c>
      <c r="AB79" s="34">
        <f t="shared" si="55"/>
        <v>3.6564579878849557</v>
      </c>
      <c r="AC79" s="21">
        <v>0.41040777000000001</v>
      </c>
      <c r="AD79" s="34">
        <f t="shared" si="56"/>
        <v>6.3493375044707742E-3</v>
      </c>
      <c r="AE79" s="21">
        <v>11.09176293</v>
      </c>
      <c r="AF79" s="34">
        <f t="shared" si="56"/>
        <v>0.17159847232460448</v>
      </c>
      <c r="AG79" s="21">
        <v>9.2696635999999994</v>
      </c>
      <c r="AH79" s="34">
        <f t="shared" si="57"/>
        <v>0.14340913367528973</v>
      </c>
      <c r="AI79" s="21">
        <v>181.12499133</v>
      </c>
    </row>
    <row r="80" spans="1:35" hidden="1" x14ac:dyDescent="0.25">
      <c r="A80" s="29" t="s">
        <v>56</v>
      </c>
      <c r="B80" s="21">
        <v>7229.1999974600003</v>
      </c>
      <c r="C80" s="21">
        <v>262.43878831000001</v>
      </c>
      <c r="D80" s="21">
        <f t="shared" si="51"/>
        <v>3.6302604493195458</v>
      </c>
      <c r="E80" s="21">
        <v>1372.8014593</v>
      </c>
      <c r="F80" s="21">
        <f t="shared" si="51"/>
        <v>18.989673266507189</v>
      </c>
      <c r="G80" s="21">
        <v>997.64935359000003</v>
      </c>
      <c r="H80" s="21">
        <f t="shared" si="51"/>
        <v>13.800273252096041</v>
      </c>
      <c r="I80" s="21">
        <v>351.05577627999998</v>
      </c>
      <c r="J80" s="21">
        <f t="shared" si="51"/>
        <v>4.8560805677439332</v>
      </c>
      <c r="K80" s="21">
        <v>657.76505277000001</v>
      </c>
      <c r="L80" s="21">
        <f t="shared" si="51"/>
        <v>9.098725349984889</v>
      </c>
      <c r="M80" s="21">
        <v>530.80898079999997</v>
      </c>
      <c r="N80" s="21">
        <f t="shared" si="51"/>
        <v>7.3425687626086038</v>
      </c>
      <c r="O80" s="21">
        <v>467.61243115000002</v>
      </c>
      <c r="P80" s="21">
        <f t="shared" si="51"/>
        <v>6.4683842100688445</v>
      </c>
      <c r="Q80" s="21">
        <v>2271.5663364000002</v>
      </c>
      <c r="R80" s="21">
        <f t="shared" si="51"/>
        <v>31.422098395370462</v>
      </c>
      <c r="S80" s="21">
        <v>204.87</v>
      </c>
      <c r="T80" s="21">
        <f t="shared" si="51"/>
        <v>2.8339235333367681</v>
      </c>
      <c r="U80" s="21">
        <v>1.1301769699999999</v>
      </c>
      <c r="V80" s="21">
        <f t="shared" si="52"/>
        <v>1.5633499839499403E-2</v>
      </c>
      <c r="W80" s="21">
        <v>0.49661414999999998</v>
      </c>
      <c r="X80" s="21">
        <f t="shared" si="53"/>
        <v>6.8695588747646587E-3</v>
      </c>
      <c r="Y80" s="33">
        <f t="shared" si="9"/>
        <v>65.544631680000762</v>
      </c>
      <c r="Z80" s="21">
        <f t="shared" si="54"/>
        <v>0.9066650763989107</v>
      </c>
      <c r="AA80" s="21">
        <v>222.83158180999999</v>
      </c>
      <c r="AB80" s="34">
        <f t="shared" si="55"/>
        <v>3.0823823090838887</v>
      </c>
      <c r="AC80" s="21">
        <v>0.39922887000000001</v>
      </c>
      <c r="AD80" s="34">
        <f t="shared" si="56"/>
        <v>5.5224488206201267E-3</v>
      </c>
      <c r="AE80" s="21">
        <v>19.28143884</v>
      </c>
      <c r="AF80" s="34">
        <f t="shared" si="56"/>
        <v>0.2667160798812398</v>
      </c>
      <c r="AG80" s="21">
        <v>7.8181465399999999</v>
      </c>
      <c r="AH80" s="34">
        <f t="shared" si="57"/>
        <v>0.1081467734015787</v>
      </c>
      <c r="AI80" s="21">
        <v>162.69198004</v>
      </c>
    </row>
    <row r="81" spans="1:35" hidden="1" x14ac:dyDescent="0.25">
      <c r="A81" s="29" t="s">
        <v>57</v>
      </c>
      <c r="B81" s="21">
        <v>7629.8486843800001</v>
      </c>
      <c r="C81" s="21">
        <v>274.92399977999997</v>
      </c>
      <c r="D81" s="21">
        <f t="shared" si="51"/>
        <v>3.6032693589694729</v>
      </c>
      <c r="E81" s="21">
        <v>1401.5466573599999</v>
      </c>
      <c r="F81" s="21">
        <f t="shared" si="51"/>
        <v>18.369258884901324</v>
      </c>
      <c r="G81" s="21">
        <v>1349.54142127</v>
      </c>
      <c r="H81" s="21">
        <f t="shared" si="51"/>
        <v>17.687656428007699</v>
      </c>
      <c r="I81" s="21">
        <v>355.94603738000001</v>
      </c>
      <c r="J81" s="21">
        <f t="shared" si="51"/>
        <v>4.6651781982085812</v>
      </c>
      <c r="K81" s="21">
        <v>664.56197875999999</v>
      </c>
      <c r="L81" s="21">
        <f t="shared" si="51"/>
        <v>8.7100282882477913</v>
      </c>
      <c r="M81" s="21">
        <v>536.25050100999999</v>
      </c>
      <c r="N81" s="21">
        <f t="shared" si="51"/>
        <v>7.0283241934774434</v>
      </c>
      <c r="O81" s="21">
        <v>464.68492273999999</v>
      </c>
      <c r="P81" s="21">
        <f t="shared" si="51"/>
        <v>6.0903556802025909</v>
      </c>
      <c r="Q81" s="21">
        <v>2264.6322482</v>
      </c>
      <c r="R81" s="21">
        <f t="shared" si="51"/>
        <v>29.681220976717494</v>
      </c>
      <c r="S81" s="21">
        <v>211.505</v>
      </c>
      <c r="T81" s="21">
        <f t="shared" si="51"/>
        <v>2.7720733234591908</v>
      </c>
      <c r="U81" s="21">
        <v>1.1576218899999999</v>
      </c>
      <c r="V81" s="21">
        <f t="shared" si="52"/>
        <v>1.5172278480042597E-2</v>
      </c>
      <c r="W81" s="21">
        <v>0.44787774000000002</v>
      </c>
      <c r="X81" s="21">
        <f t="shared" si="53"/>
        <v>5.8700736872659811E-3</v>
      </c>
      <c r="Y81" s="33">
        <f t="shared" si="9"/>
        <v>61.800382810001274</v>
      </c>
      <c r="Z81" s="21">
        <f t="shared" si="54"/>
        <v>0.80998176197806426</v>
      </c>
      <c r="AA81" s="21">
        <v>238.52642612</v>
      </c>
      <c r="AB81" s="34">
        <f t="shared" si="55"/>
        <v>3.1262274782502137</v>
      </c>
      <c r="AC81" s="21">
        <v>0.35687341</v>
      </c>
      <c r="AD81" s="34">
        <f t="shared" si="56"/>
        <v>4.6773327330933753E-3</v>
      </c>
      <c r="AE81" s="21">
        <v>7.4731609900000002</v>
      </c>
      <c r="AF81" s="34">
        <f t="shared" si="56"/>
        <v>9.7946385297250069E-2</v>
      </c>
      <c r="AG81" s="21">
        <v>7.9985749200000003</v>
      </c>
      <c r="AH81" s="34">
        <f t="shared" si="57"/>
        <v>0.10483268084169042</v>
      </c>
      <c r="AI81" s="21">
        <v>140.0952757</v>
      </c>
    </row>
    <row r="82" spans="1:35" hidden="1" x14ac:dyDescent="0.25">
      <c r="A82" s="29" t="s">
        <v>58</v>
      </c>
      <c r="B82" s="21">
        <v>7780.8130340600001</v>
      </c>
      <c r="C82" s="21">
        <v>309.36373753999999</v>
      </c>
      <c r="D82" s="21">
        <f t="shared" si="51"/>
        <v>3.9759821523249625</v>
      </c>
      <c r="E82" s="21">
        <v>1645.9977785900001</v>
      </c>
      <c r="F82" s="21">
        <f t="shared" si="51"/>
        <v>21.154573068196761</v>
      </c>
      <c r="G82" s="21">
        <v>1353.60815443</v>
      </c>
      <c r="H82" s="21">
        <f t="shared" si="51"/>
        <v>17.396744382684286</v>
      </c>
      <c r="I82" s="21">
        <v>367.58060509000001</v>
      </c>
      <c r="J82" s="21">
        <f t="shared" si="51"/>
        <v>4.7241927479935573</v>
      </c>
      <c r="K82" s="21">
        <v>443.28486605000001</v>
      </c>
      <c r="L82" s="21">
        <f t="shared" si="51"/>
        <v>5.6971535507863962</v>
      </c>
      <c r="M82" s="21">
        <v>544.39440499</v>
      </c>
      <c r="N82" s="21">
        <f t="shared" si="51"/>
        <v>6.9966262215394339</v>
      </c>
      <c r="O82" s="21">
        <v>475.60368820000002</v>
      </c>
      <c r="P82" s="21">
        <f t="shared" si="51"/>
        <v>6.1125191688590386</v>
      </c>
      <c r="Q82" s="21">
        <v>2300.0184254800001</v>
      </c>
      <c r="R82" s="21">
        <f t="shared" si="51"/>
        <v>29.560129711532973</v>
      </c>
      <c r="S82" s="21">
        <v>223.553</v>
      </c>
      <c r="T82" s="21">
        <f t="shared" si="51"/>
        <v>2.8731316254665336</v>
      </c>
      <c r="U82" s="21">
        <v>1.06450446</v>
      </c>
      <c r="V82" s="21">
        <f t="shared" si="52"/>
        <v>1.3681146884524807E-2</v>
      </c>
      <c r="W82" s="21">
        <v>0.64260275</v>
      </c>
      <c r="X82" s="21">
        <f t="shared" si="53"/>
        <v>8.2588123784371695E-3</v>
      </c>
      <c r="Y82" s="33">
        <f t="shared" si="9"/>
        <v>61.742304209999922</v>
      </c>
      <c r="Z82" s="21">
        <f t="shared" si="54"/>
        <v>0.79351995658714614</v>
      </c>
      <c r="AA82" s="21">
        <v>259.77765068999997</v>
      </c>
      <c r="AB82" s="34">
        <f t="shared" si="55"/>
        <v>3.3386954493423797</v>
      </c>
      <c r="AC82" s="21">
        <v>0.38230923</v>
      </c>
      <c r="AD82" s="34">
        <f t="shared" si="56"/>
        <v>4.9134869110267314E-3</v>
      </c>
      <c r="AE82" s="21">
        <v>8.2631040700000007</v>
      </c>
      <c r="AF82" s="34">
        <f t="shared" si="56"/>
        <v>0.10619846581364702</v>
      </c>
      <c r="AG82" s="21">
        <v>9.0888982800000004</v>
      </c>
      <c r="AH82" s="34">
        <f t="shared" si="57"/>
        <v>0.11681167816543003</v>
      </c>
      <c r="AI82" s="21">
        <v>149.34801235</v>
      </c>
    </row>
    <row r="83" spans="1:35" hidden="1" x14ac:dyDescent="0.25">
      <c r="A83" s="29" t="s">
        <v>59</v>
      </c>
      <c r="B83" s="21">
        <v>7963.7234947999996</v>
      </c>
      <c r="C83" s="21">
        <v>290.01943205999999</v>
      </c>
      <c r="D83" s="21">
        <f t="shared" si="51"/>
        <v>3.641756676375961</v>
      </c>
      <c r="E83" s="21">
        <v>1735.3021489400001</v>
      </c>
      <c r="F83" s="21">
        <f t="shared" si="51"/>
        <v>21.790085379949272</v>
      </c>
      <c r="G83" s="21">
        <v>1428.3545655299999</v>
      </c>
      <c r="H83" s="21">
        <f t="shared" si="51"/>
        <v>17.93576291872338</v>
      </c>
      <c r="I83" s="21">
        <v>388.22547713</v>
      </c>
      <c r="J83" s="21">
        <f t="shared" si="51"/>
        <v>4.8749241153776381</v>
      </c>
      <c r="K83" s="21">
        <v>461.22628617999999</v>
      </c>
      <c r="L83" s="21">
        <f t="shared" si="51"/>
        <v>5.7915909119793367</v>
      </c>
      <c r="M83" s="21">
        <v>485.61600299000003</v>
      </c>
      <c r="N83" s="21">
        <f t="shared" si="51"/>
        <v>6.0978511283960115</v>
      </c>
      <c r="O83" s="21">
        <v>509.94234452000001</v>
      </c>
      <c r="P83" s="21">
        <f t="shared" si="51"/>
        <v>6.4033155452091277</v>
      </c>
      <c r="Q83" s="21">
        <v>2303.87076432</v>
      </c>
      <c r="R83" s="21">
        <f t="shared" si="51"/>
        <v>28.929567504752491</v>
      </c>
      <c r="S83" s="21">
        <v>237.4</v>
      </c>
      <c r="T83" s="21">
        <f t="shared" si="51"/>
        <v>2.9810176126156684</v>
      </c>
      <c r="U83" s="21">
        <v>0.96420932000000004</v>
      </c>
      <c r="V83" s="21">
        <f t="shared" si="52"/>
        <v>1.2107518808627536E-2</v>
      </c>
      <c r="W83" s="21">
        <v>0.67156216999999996</v>
      </c>
      <c r="X83" s="21">
        <f t="shared" si="53"/>
        <v>8.4327660351154049E-3</v>
      </c>
      <c r="Y83" s="33">
        <f t="shared" si="9"/>
        <v>60.321730209999281</v>
      </c>
      <c r="Z83" s="21">
        <f t="shared" si="54"/>
        <v>0.75745636132880578</v>
      </c>
      <c r="AA83" s="21">
        <v>257.56020864999999</v>
      </c>
      <c r="AB83" s="34">
        <f t="shared" si="55"/>
        <v>3.2341681478290494</v>
      </c>
      <c r="AC83" s="21">
        <v>17.058841109999999</v>
      </c>
      <c r="AD83" s="34">
        <f t="shared" si="56"/>
        <v>0.2142068483560329</v>
      </c>
      <c r="AE83" s="21">
        <v>15.700916619999999</v>
      </c>
      <c r="AF83" s="34">
        <f t="shared" si="56"/>
        <v>0.1971554716867315</v>
      </c>
      <c r="AG83" s="21">
        <v>8.8890050499999997</v>
      </c>
      <c r="AH83" s="34">
        <f t="shared" si="57"/>
        <v>0.11161870519241625</v>
      </c>
      <c r="AI83" s="21">
        <v>138.05307303999999</v>
      </c>
    </row>
    <row r="84" spans="1:35" hidden="1" x14ac:dyDescent="0.25">
      <c r="A84" s="29" t="s">
        <v>60</v>
      </c>
      <c r="B84" s="21">
        <v>8064.5616917300003</v>
      </c>
      <c r="C84" s="21">
        <v>272.89767504000002</v>
      </c>
      <c r="D84" s="21">
        <f t="shared" si="51"/>
        <v>3.3839120521559103</v>
      </c>
      <c r="E84" s="21">
        <v>1839.8229197799999</v>
      </c>
      <c r="F84" s="21">
        <f t="shared" si="51"/>
        <v>22.813675313150505</v>
      </c>
      <c r="G84" s="21">
        <v>1420.5073482400001</v>
      </c>
      <c r="H84" s="21">
        <f t="shared" si="51"/>
        <v>17.614191601965096</v>
      </c>
      <c r="I84" s="21">
        <v>390.39869227000003</v>
      </c>
      <c r="J84" s="21">
        <f t="shared" si="51"/>
        <v>4.8409164340616773</v>
      </c>
      <c r="K84" s="21">
        <v>449.82142861</v>
      </c>
      <c r="L84" s="21">
        <f t="shared" si="51"/>
        <v>5.577754201710432</v>
      </c>
      <c r="M84" s="21">
        <v>434.04885870999999</v>
      </c>
      <c r="N84" s="21">
        <f t="shared" si="51"/>
        <v>5.3821754399263373</v>
      </c>
      <c r="O84" s="21">
        <v>518.06197213999997</v>
      </c>
      <c r="P84" s="21">
        <f t="shared" si="51"/>
        <v>6.4239321607677589</v>
      </c>
      <c r="Q84" s="21">
        <v>2324.9324610100002</v>
      </c>
      <c r="R84" s="21">
        <f t="shared" si="51"/>
        <v>28.828999639176402</v>
      </c>
      <c r="S84" s="21">
        <v>241.428</v>
      </c>
      <c r="T84" s="21">
        <f t="shared" si="51"/>
        <v>2.9936902863248993</v>
      </c>
      <c r="U84" s="21">
        <v>0.98081085000000001</v>
      </c>
      <c r="V84" s="21">
        <f t="shared" si="52"/>
        <v>1.2161985827522358E-2</v>
      </c>
      <c r="W84" s="21">
        <v>1.7104575799999999</v>
      </c>
      <c r="X84" s="21">
        <f t="shared" si="53"/>
        <v>2.1209554162801309E-2</v>
      </c>
      <c r="Y84" s="33">
        <f t="shared" ref="Y84:Y112" si="58">((B84-C84-E84-G84-I84-K84-M84-W84-O84-Q84-U84-AA84-AC84-AE84-AG84))</f>
        <v>58.789535000000598</v>
      </c>
      <c r="Z84" s="21">
        <f t="shared" si="54"/>
        <v>0.72898611539282721</v>
      </c>
      <c r="AA84" s="21">
        <v>300.15988088</v>
      </c>
      <c r="AB84" s="34">
        <f t="shared" si="55"/>
        <v>3.7219614946687831</v>
      </c>
      <c r="AC84" s="21">
        <v>34.026205449999999</v>
      </c>
      <c r="AD84" s="34">
        <f t="shared" si="56"/>
        <v>0.42192256381264953</v>
      </c>
      <c r="AE84" s="21">
        <v>9.5714064299999997</v>
      </c>
      <c r="AF84" s="34">
        <f t="shared" si="56"/>
        <v>0.11868476918981512</v>
      </c>
      <c r="AG84" s="21">
        <v>8.8320397400000008</v>
      </c>
      <c r="AH84" s="34">
        <f t="shared" si="57"/>
        <v>0.10951667403148554</v>
      </c>
      <c r="AI84" s="21">
        <v>134.64883083000001</v>
      </c>
    </row>
    <row r="85" spans="1:35" hidden="1" x14ac:dyDescent="0.25">
      <c r="A85" s="29" t="s">
        <v>61</v>
      </c>
      <c r="B85" s="21">
        <v>8407.4600296200006</v>
      </c>
      <c r="C85" s="21">
        <v>303.52331758999998</v>
      </c>
      <c r="D85" s="21">
        <f t="shared" si="51"/>
        <v>3.6101666439170526</v>
      </c>
      <c r="E85" s="21">
        <v>1833.9755674099999</v>
      </c>
      <c r="F85" s="21">
        <f t="shared" si="51"/>
        <v>21.813669775994068</v>
      </c>
      <c r="G85" s="21">
        <v>1521.9513809699999</v>
      </c>
      <c r="H85" s="21">
        <f t="shared" si="51"/>
        <v>18.1023921090088</v>
      </c>
      <c r="I85" s="21">
        <v>394.76353073000001</v>
      </c>
      <c r="J85" s="21">
        <f t="shared" si="51"/>
        <v>4.6953958667567104</v>
      </c>
      <c r="K85" s="21">
        <v>576.51455678000002</v>
      </c>
      <c r="L85" s="21">
        <f t="shared" si="51"/>
        <v>6.8571786811819937</v>
      </c>
      <c r="M85" s="21">
        <v>536.86002767000002</v>
      </c>
      <c r="N85" s="21">
        <f t="shared" si="51"/>
        <v>6.3855198333219425</v>
      </c>
      <c r="O85" s="21">
        <v>520.36061713000004</v>
      </c>
      <c r="P85" s="21">
        <f t="shared" si="51"/>
        <v>6.1892725662297225</v>
      </c>
      <c r="Q85" s="21">
        <v>2328.94564223</v>
      </c>
      <c r="R85" s="21">
        <f t="shared" si="51"/>
        <v>27.700942187354809</v>
      </c>
      <c r="S85" s="21">
        <v>254.60599999999999</v>
      </c>
      <c r="T85" s="21">
        <f t="shared" si="51"/>
        <v>3.0283343495301476</v>
      </c>
      <c r="U85" s="21">
        <v>0.99526274999999997</v>
      </c>
      <c r="V85" s="21">
        <f t="shared" si="52"/>
        <v>1.1837852888906137E-2</v>
      </c>
      <c r="W85" s="21">
        <v>0.60261160000000003</v>
      </c>
      <c r="X85" s="21">
        <f t="shared" si="53"/>
        <v>7.1675820982432525E-3</v>
      </c>
      <c r="Y85" s="33">
        <f t="shared" si="58"/>
        <v>57.50058646000069</v>
      </c>
      <c r="Z85" s="21">
        <f t="shared" si="54"/>
        <v>0.68392339966437632</v>
      </c>
      <c r="AA85" s="21">
        <v>284.51366710000002</v>
      </c>
      <c r="AB85" s="34">
        <f t="shared" si="55"/>
        <v>3.3840620841210165</v>
      </c>
      <c r="AC85" s="21">
        <v>18.522100099999999</v>
      </c>
      <c r="AD85" s="34">
        <f t="shared" si="56"/>
        <v>0.22030553859007951</v>
      </c>
      <c r="AE85" s="21">
        <v>19.77260862</v>
      </c>
      <c r="AF85" s="34">
        <f t="shared" si="56"/>
        <v>0.23517933538000629</v>
      </c>
      <c r="AG85" s="21">
        <v>8.6585524800000009</v>
      </c>
      <c r="AH85" s="34">
        <f t="shared" si="57"/>
        <v>0.10298654349227218</v>
      </c>
      <c r="AI85" s="21">
        <v>165.64595686000001</v>
      </c>
    </row>
    <row r="86" spans="1:35" x14ac:dyDescent="0.25">
      <c r="A86" s="29" t="s">
        <v>63</v>
      </c>
      <c r="B86" s="35">
        <v>9163.3597792400014</v>
      </c>
      <c r="C86" s="35">
        <v>492.87668797999999</v>
      </c>
      <c r="D86" s="35">
        <v>5.378776997238873</v>
      </c>
      <c r="E86" s="35">
        <v>2206.7763883799998</v>
      </c>
      <c r="F86" s="35">
        <v>24.082612071824897</v>
      </c>
      <c r="G86" s="35">
        <v>983.95156850000001</v>
      </c>
      <c r="H86" s="35">
        <v>10.737890819578928</v>
      </c>
      <c r="I86" s="35">
        <v>441.34799163000002</v>
      </c>
      <c r="J86" s="35">
        <v>4.8164429015424401</v>
      </c>
      <c r="K86" s="35">
        <v>660.64497155000004</v>
      </c>
      <c r="L86" s="35">
        <v>7.2096369395723237</v>
      </c>
      <c r="M86" s="35">
        <v>682.38481673000001</v>
      </c>
      <c r="N86" s="35">
        <v>7.4468844743603002</v>
      </c>
      <c r="O86" s="35">
        <v>454.41087775</v>
      </c>
      <c r="P86" s="35">
        <v>4.9589985409007733</v>
      </c>
      <c r="Q86" s="35">
        <v>2700.8020430699999</v>
      </c>
      <c r="R86" s="35">
        <v>29.47392777470974</v>
      </c>
      <c r="S86" s="35">
        <v>401.41500000000002</v>
      </c>
      <c r="T86" s="35">
        <v>4.380653053800458</v>
      </c>
      <c r="U86" s="35">
        <v>0.68196042999999995</v>
      </c>
      <c r="V86" s="35">
        <v>7.4422531301784264E-3</v>
      </c>
      <c r="W86" s="35">
        <v>0.97847786000000003</v>
      </c>
      <c r="X86" s="35">
        <v>1.0678156086556648E-2</v>
      </c>
      <c r="Y86" s="36">
        <f t="shared" si="58"/>
        <v>46.043434350000659</v>
      </c>
      <c r="Z86" s="35">
        <v>0.50247327900748928</v>
      </c>
      <c r="AA86" s="35">
        <v>430.83065515999999</v>
      </c>
      <c r="AB86" s="37">
        <v>4.7016669162774329</v>
      </c>
      <c r="AC86" s="35">
        <v>44.068022310000003</v>
      </c>
      <c r="AD86" s="37">
        <v>0.4809155525011477</v>
      </c>
      <c r="AE86" s="35">
        <v>7.71011062</v>
      </c>
      <c r="AF86" s="37">
        <v>8.4140651526829688E-2</v>
      </c>
      <c r="AG86" s="35">
        <v>9.8517729200000002</v>
      </c>
      <c r="AH86" s="37">
        <v>0.10751267174207904</v>
      </c>
      <c r="AI86" s="35">
        <v>146.31131445</v>
      </c>
    </row>
    <row r="87" spans="1:35" hidden="1" x14ac:dyDescent="0.25">
      <c r="A87" s="29" t="s">
        <v>50</v>
      </c>
      <c r="B87" s="35">
        <v>8431.1754328499992</v>
      </c>
      <c r="C87" s="35">
        <v>331.42509939000001</v>
      </c>
      <c r="D87" s="35">
        <f t="shared" ref="D87:R87" si="59">C87/$B87*100</f>
        <v>3.9309477311868486</v>
      </c>
      <c r="E87" s="35">
        <v>1842.24816197</v>
      </c>
      <c r="F87" s="35">
        <f t="shared" si="59"/>
        <v>21.850430899493961</v>
      </c>
      <c r="G87" s="35">
        <v>1519.90390383</v>
      </c>
      <c r="H87" s="35">
        <f t="shared" si="59"/>
        <v>18.027188687215173</v>
      </c>
      <c r="I87" s="35">
        <v>391.68248686999999</v>
      </c>
      <c r="J87" s="35">
        <f t="shared" si="59"/>
        <v>4.645645082225494</v>
      </c>
      <c r="K87" s="35">
        <v>574.19820347999996</v>
      </c>
      <c r="L87" s="35">
        <f t="shared" si="59"/>
        <v>6.8104169822250178</v>
      </c>
      <c r="M87" s="35">
        <v>529.23666118000006</v>
      </c>
      <c r="N87" s="35">
        <f t="shared" si="59"/>
        <v>6.2771397107686759</v>
      </c>
      <c r="O87" s="35">
        <v>530.07371538999996</v>
      </c>
      <c r="P87" s="35">
        <f t="shared" si="59"/>
        <v>6.287067795134452</v>
      </c>
      <c r="Q87" s="35">
        <v>2324.9568689900002</v>
      </c>
      <c r="R87" s="35">
        <f t="shared" si="59"/>
        <v>27.575714531231053</v>
      </c>
      <c r="S87" s="35">
        <v>271.08199999999999</v>
      </c>
      <c r="T87" s="35">
        <f t="shared" ref="D87:T98" si="60">S87/$B87*100</f>
        <v>3.2152337732624532</v>
      </c>
      <c r="U87" s="35">
        <v>1.01570618</v>
      </c>
      <c r="V87" s="35">
        <f t="shared" ref="V87:V93" si="61">U87/$B87*100</f>
        <v>1.2047029362507995E-2</v>
      </c>
      <c r="W87" s="35">
        <v>2.5138465299999999</v>
      </c>
      <c r="X87" s="35">
        <f t="shared" ref="X87:X93" si="62">W87/$B87*100</f>
        <v>2.9816086143877589E-2</v>
      </c>
      <c r="Y87" s="36">
        <f t="shared" si="58"/>
        <v>57.932174959998754</v>
      </c>
      <c r="Z87" s="35">
        <f t="shared" ref="Z87:Z98" si="63">Y87/$B87*100</f>
        <v>0.68711860429662386</v>
      </c>
      <c r="AA87" s="37">
        <v>288.54346126000002</v>
      </c>
      <c r="AB87" s="37">
        <f t="shared" ref="AB87:AB98" si="64">AA87/B87*100</f>
        <v>3.4223396673227962</v>
      </c>
      <c r="AC87" s="37">
        <v>18.514744159999999</v>
      </c>
      <c r="AD87" s="37">
        <f t="shared" ref="AD87:AF98" si="65">AC87/$B87*100</f>
        <v>0.21959861121928337</v>
      </c>
      <c r="AE87" s="37">
        <v>11.4690999</v>
      </c>
      <c r="AF87" s="37">
        <f t="shared" si="65"/>
        <v>0.13603203955777599</v>
      </c>
      <c r="AG87" s="37">
        <v>7.46129876</v>
      </c>
      <c r="AH87" s="37">
        <f t="shared" ref="AH87:AH98" si="66">AG87/$B87*100</f>
        <v>8.8496542616452817E-2</v>
      </c>
      <c r="AI87" s="35">
        <v>139.20685248999999</v>
      </c>
    </row>
    <row r="88" spans="1:35" hidden="1" x14ac:dyDescent="0.25">
      <c r="A88" s="29" t="s">
        <v>51</v>
      </c>
      <c r="B88" s="35">
        <v>8343.4665381899995</v>
      </c>
      <c r="C88" s="35">
        <v>358.36671997000002</v>
      </c>
      <c r="D88" s="35">
        <f t="shared" si="60"/>
        <v>4.2951777696916702</v>
      </c>
      <c r="E88" s="35">
        <v>1707.71920047</v>
      </c>
      <c r="F88" s="35">
        <f t="shared" si="60"/>
        <v>20.467741946987736</v>
      </c>
      <c r="G88" s="35">
        <v>1515.53282476</v>
      </c>
      <c r="H88" s="35">
        <f t="shared" si="60"/>
        <v>18.164306380603932</v>
      </c>
      <c r="I88" s="35">
        <v>392.70892785000001</v>
      </c>
      <c r="J88" s="35">
        <f t="shared" si="60"/>
        <v>4.7067837577160443</v>
      </c>
      <c r="K88" s="35">
        <v>576.36290809000002</v>
      </c>
      <c r="L88" s="35">
        <f t="shared" si="60"/>
        <v>6.9079549303859746</v>
      </c>
      <c r="M88" s="35">
        <v>567.25553474000003</v>
      </c>
      <c r="N88" s="35">
        <f t="shared" si="60"/>
        <v>6.7987991818932656</v>
      </c>
      <c r="O88" s="35">
        <v>497.47807957999999</v>
      </c>
      <c r="P88" s="35">
        <f t="shared" si="60"/>
        <v>5.9624866631025171</v>
      </c>
      <c r="Q88" s="35">
        <v>2330.9711280299998</v>
      </c>
      <c r="R88" s="35">
        <f t="shared" si="60"/>
        <v>27.937681746077597</v>
      </c>
      <c r="S88" s="35">
        <v>289</v>
      </c>
      <c r="T88" s="35">
        <f t="shared" si="60"/>
        <v>3.4637880870880147</v>
      </c>
      <c r="U88" s="35">
        <v>0.99192539000000002</v>
      </c>
      <c r="V88" s="35">
        <f t="shared" si="61"/>
        <v>1.1888648266997001E-2</v>
      </c>
      <c r="W88" s="35">
        <v>0.86308744000000004</v>
      </c>
      <c r="X88" s="35">
        <f t="shared" si="62"/>
        <v>1.0344470563277827E-2</v>
      </c>
      <c r="Y88" s="36">
        <f t="shared" si="58"/>
        <v>57.771892269998951</v>
      </c>
      <c r="Z88" s="35">
        <f t="shared" si="63"/>
        <v>0.69242073430226481</v>
      </c>
      <c r="AA88" s="37">
        <v>310.23641287999999</v>
      </c>
      <c r="AB88" s="37">
        <f t="shared" si="64"/>
        <v>3.7183155401891446</v>
      </c>
      <c r="AC88" s="37">
        <v>18.498768770000002</v>
      </c>
      <c r="AD88" s="37">
        <f t="shared" si="65"/>
        <v>0.22171562246132118</v>
      </c>
      <c r="AE88" s="37">
        <v>1.45456896</v>
      </c>
      <c r="AF88" s="37">
        <f t="shared" si="65"/>
        <v>1.7433628496525962E-2</v>
      </c>
      <c r="AG88" s="37">
        <v>7.2545589899999996</v>
      </c>
      <c r="AH88" s="37">
        <f t="shared" si="66"/>
        <v>8.6948979261727538E-2</v>
      </c>
      <c r="AI88" s="35">
        <v>139.55287720000001</v>
      </c>
    </row>
    <row r="89" spans="1:35" hidden="1" x14ac:dyDescent="0.25">
      <c r="A89" s="29" t="s">
        <v>52</v>
      </c>
      <c r="B89" s="35">
        <v>8485.212513729999</v>
      </c>
      <c r="C89" s="35">
        <v>355.91081566000003</v>
      </c>
      <c r="D89" s="35">
        <f t="shared" si="60"/>
        <v>4.1944832269562786</v>
      </c>
      <c r="E89" s="35">
        <v>1843.17726455</v>
      </c>
      <c r="F89" s="35">
        <f t="shared" si="60"/>
        <v>21.722228660361047</v>
      </c>
      <c r="G89" s="35">
        <v>1508.1860343999999</v>
      </c>
      <c r="H89" s="35">
        <f t="shared" si="60"/>
        <v>17.774287113723911</v>
      </c>
      <c r="I89" s="35">
        <v>387.17245847999999</v>
      </c>
      <c r="J89" s="35">
        <f t="shared" si="60"/>
        <v>4.5629082106489705</v>
      </c>
      <c r="K89" s="35">
        <v>562.38271422000003</v>
      </c>
      <c r="L89" s="35">
        <f t="shared" si="60"/>
        <v>6.6277976339426194</v>
      </c>
      <c r="M89" s="35">
        <v>597.01334268000005</v>
      </c>
      <c r="N89" s="35">
        <f t="shared" si="60"/>
        <v>7.0359268163757527</v>
      </c>
      <c r="O89" s="35">
        <v>438.83372997999999</v>
      </c>
      <c r="P89" s="35">
        <f t="shared" si="60"/>
        <v>5.1717470749249843</v>
      </c>
      <c r="Q89" s="35">
        <v>2401.92130993</v>
      </c>
      <c r="R89" s="35">
        <f t="shared" si="60"/>
        <v>28.307143822779089</v>
      </c>
      <c r="S89" s="35">
        <v>360.58600000000001</v>
      </c>
      <c r="T89" s="35">
        <f t="shared" si="60"/>
        <v>4.2495812499278305</v>
      </c>
      <c r="U89" s="35">
        <v>0.7905063</v>
      </c>
      <c r="V89" s="35">
        <f t="shared" si="61"/>
        <v>9.3162816926609035E-3</v>
      </c>
      <c r="W89" s="35">
        <v>0.68047727000000002</v>
      </c>
      <c r="X89" s="35">
        <f t="shared" si="62"/>
        <v>8.019566615437311E-3</v>
      </c>
      <c r="Y89" s="36">
        <f t="shared" si="58"/>
        <v>53.242798919998563</v>
      </c>
      <c r="Z89" s="35">
        <f t="shared" si="63"/>
        <v>0.62747749492244187</v>
      </c>
      <c r="AA89" s="37">
        <v>304.29962330000001</v>
      </c>
      <c r="AB89" s="37">
        <f t="shared" si="64"/>
        <v>3.5862345557946846</v>
      </c>
      <c r="AC89" s="37">
        <v>18.501820349999999</v>
      </c>
      <c r="AD89" s="37">
        <f t="shared" si="65"/>
        <v>0.21804781341730728</v>
      </c>
      <c r="AE89" s="37">
        <v>5.5935107000000004</v>
      </c>
      <c r="AF89" s="37">
        <f t="shared" si="65"/>
        <v>6.5920690742265906E-2</v>
      </c>
      <c r="AG89" s="37">
        <v>7.5061069900000001</v>
      </c>
      <c r="AH89" s="37">
        <f t="shared" si="66"/>
        <v>8.8461037102539275E-2</v>
      </c>
      <c r="AI89" s="35">
        <v>151.38279889</v>
      </c>
    </row>
    <row r="90" spans="1:35" hidden="1" x14ac:dyDescent="0.25">
      <c r="A90" s="29" t="s">
        <v>53</v>
      </c>
      <c r="B90" s="35">
        <v>8605.4584439699993</v>
      </c>
      <c r="C90" s="35">
        <v>365.24831912000002</v>
      </c>
      <c r="D90" s="35">
        <f t="shared" si="60"/>
        <v>4.2443795586037156</v>
      </c>
      <c r="E90" s="35">
        <v>1874.3911692700001</v>
      </c>
      <c r="F90" s="35">
        <f t="shared" si="60"/>
        <v>21.781421425414237</v>
      </c>
      <c r="G90" s="35">
        <v>1509.9414386999999</v>
      </c>
      <c r="H90" s="35">
        <f t="shared" si="60"/>
        <v>17.546321890125949</v>
      </c>
      <c r="I90" s="35">
        <v>388.87514071999999</v>
      </c>
      <c r="J90" s="35">
        <f t="shared" si="60"/>
        <v>4.5189357807252195</v>
      </c>
      <c r="K90" s="35">
        <v>567.58861449000005</v>
      </c>
      <c r="L90" s="35">
        <f t="shared" si="60"/>
        <v>6.59568131303591</v>
      </c>
      <c r="M90" s="35">
        <v>601.16608893</v>
      </c>
      <c r="N90" s="35">
        <f t="shared" si="60"/>
        <v>6.9858694088662761</v>
      </c>
      <c r="O90" s="35">
        <v>443.36540312</v>
      </c>
      <c r="P90" s="35">
        <f t="shared" si="60"/>
        <v>5.1521415855615942</v>
      </c>
      <c r="Q90" s="35">
        <v>2439.8551645500002</v>
      </c>
      <c r="R90" s="35">
        <f t="shared" si="60"/>
        <v>28.352413534222006</v>
      </c>
      <c r="S90" s="35">
        <v>317.7</v>
      </c>
      <c r="T90" s="35">
        <f t="shared" si="60"/>
        <v>3.6918428235815619</v>
      </c>
      <c r="U90" s="35">
        <v>0.97354397000000004</v>
      </c>
      <c r="V90" s="35">
        <f t="shared" si="61"/>
        <v>1.1313098265928877E-2</v>
      </c>
      <c r="W90" s="35">
        <v>0.62503045999999995</v>
      </c>
      <c r="X90" s="35">
        <f t="shared" si="62"/>
        <v>7.2631860820613244E-3</v>
      </c>
      <c r="Y90" s="36">
        <f t="shared" si="58"/>
        <v>48.657510479998628</v>
      </c>
      <c r="Z90" s="35">
        <f t="shared" si="63"/>
        <v>0.56542612804195025</v>
      </c>
      <c r="AA90" s="37">
        <v>332.51146863000002</v>
      </c>
      <c r="AB90" s="37">
        <f t="shared" si="64"/>
        <v>3.8639599597740992</v>
      </c>
      <c r="AC90" s="37">
        <v>18.492482899999999</v>
      </c>
      <c r="AD90" s="37">
        <f t="shared" si="65"/>
        <v>0.21489247807544776</v>
      </c>
      <c r="AE90" s="37">
        <v>6.63861554</v>
      </c>
      <c r="AF90" s="37">
        <f t="shared" si="65"/>
        <v>7.7144240289159699E-2</v>
      </c>
      <c r="AG90" s="37">
        <v>7.1284530899999998</v>
      </c>
      <c r="AH90" s="37">
        <f t="shared" si="66"/>
        <v>8.2836412916444169E-2</v>
      </c>
      <c r="AI90" s="35">
        <v>140.64108408999999</v>
      </c>
    </row>
    <row r="91" spans="1:35" hidden="1" x14ac:dyDescent="0.25">
      <c r="A91" s="29" t="s">
        <v>54</v>
      </c>
      <c r="B91" s="35">
        <v>8733.4896446999992</v>
      </c>
      <c r="C91" s="35">
        <v>383.58905662000001</v>
      </c>
      <c r="D91" s="35">
        <f t="shared" si="60"/>
        <v>4.3921624943218962</v>
      </c>
      <c r="E91" s="35">
        <v>1882.2593486299997</v>
      </c>
      <c r="F91" s="35">
        <f t="shared" si="60"/>
        <v>21.552202214750054</v>
      </c>
      <c r="G91" s="35">
        <v>1503.3467280300001</v>
      </c>
      <c r="H91" s="35">
        <f t="shared" si="60"/>
        <v>17.213585739376473</v>
      </c>
      <c r="I91" s="35">
        <v>395.78665543</v>
      </c>
      <c r="J91" s="35">
        <f t="shared" si="60"/>
        <v>4.5318271565156873</v>
      </c>
      <c r="K91" s="35">
        <v>589.16889433999995</v>
      </c>
      <c r="L91" s="35">
        <f t="shared" si="60"/>
        <v>6.7460879706606471</v>
      </c>
      <c r="M91" s="35">
        <v>605.74556476999999</v>
      </c>
      <c r="N91" s="35">
        <f t="shared" si="60"/>
        <v>6.9358937768661848</v>
      </c>
      <c r="O91" s="35">
        <v>445.70633127999997</v>
      </c>
      <c r="P91" s="35">
        <f t="shared" si="60"/>
        <v>5.1034162678658586</v>
      </c>
      <c r="Q91" s="35">
        <v>2482.3394727199993</v>
      </c>
      <c r="R91" s="35">
        <f t="shared" si="60"/>
        <v>28.423225694512965</v>
      </c>
      <c r="S91" s="35">
        <v>324.67899999999997</v>
      </c>
      <c r="T91" s="35">
        <f t="shared" si="60"/>
        <v>3.7176319341837716</v>
      </c>
      <c r="U91" s="35">
        <v>0.93800456999999993</v>
      </c>
      <c r="V91" s="35">
        <f t="shared" si="61"/>
        <v>1.0740318110633324E-2</v>
      </c>
      <c r="W91" s="35">
        <v>0.58456328999999996</v>
      </c>
      <c r="X91" s="35">
        <f t="shared" si="62"/>
        <v>6.6933529869672168E-3</v>
      </c>
      <c r="Y91" s="36">
        <f t="shared" si="58"/>
        <v>49.777326420001081</v>
      </c>
      <c r="Z91" s="35">
        <f t="shared" si="63"/>
        <v>0.56995918521766287</v>
      </c>
      <c r="AA91" s="37">
        <v>360.33753009999998</v>
      </c>
      <c r="AB91" s="37">
        <f t="shared" si="64"/>
        <v>4.1259284061632133</v>
      </c>
      <c r="AC91" s="37">
        <v>18.789121959999999</v>
      </c>
      <c r="AD91" s="37">
        <f t="shared" si="65"/>
        <v>0.21513876725556499</v>
      </c>
      <c r="AE91" s="37">
        <v>6.63861554</v>
      </c>
      <c r="AF91" s="37">
        <f t="shared" si="65"/>
        <v>7.6013321250443189E-2</v>
      </c>
      <c r="AG91" s="37">
        <v>8.4824310000000001</v>
      </c>
      <c r="AH91" s="37">
        <f t="shared" si="66"/>
        <v>9.7125334145757455E-2</v>
      </c>
      <c r="AI91" s="35">
        <v>149.99179429000003</v>
      </c>
    </row>
    <row r="92" spans="1:35" hidden="1" x14ac:dyDescent="0.25">
      <c r="A92" s="29" t="s">
        <v>55</v>
      </c>
      <c r="B92" s="35">
        <v>8840.6992274799995</v>
      </c>
      <c r="C92" s="35">
        <v>408.5922167199999</v>
      </c>
      <c r="D92" s="35">
        <f t="shared" si="60"/>
        <v>4.6217183302645539</v>
      </c>
      <c r="E92" s="35">
        <v>2014.7660075700001</v>
      </c>
      <c r="F92" s="35">
        <f t="shared" si="60"/>
        <v>22.789668053714568</v>
      </c>
      <c r="G92" s="35">
        <v>1394.7596282799998</v>
      </c>
      <c r="H92" s="35">
        <f t="shared" si="60"/>
        <v>15.776575951646413</v>
      </c>
      <c r="I92" s="35">
        <v>408.21257389999994</v>
      </c>
      <c r="J92" s="35">
        <f t="shared" si="60"/>
        <v>4.6174240678964829</v>
      </c>
      <c r="K92" s="35">
        <v>604.11590692999994</v>
      </c>
      <c r="L92" s="35">
        <f t="shared" si="60"/>
        <v>6.8333498446841796</v>
      </c>
      <c r="M92" s="35">
        <v>604.47354925999991</v>
      </c>
      <c r="N92" s="35">
        <f t="shared" si="60"/>
        <v>6.8373952524149182</v>
      </c>
      <c r="O92" s="35">
        <v>450.20410727000001</v>
      </c>
      <c r="P92" s="35">
        <f t="shared" si="60"/>
        <v>5.0924038436983299</v>
      </c>
      <c r="Q92" s="35">
        <v>2507.8118392700007</v>
      </c>
      <c r="R92" s="35">
        <f t="shared" si="60"/>
        <v>28.36666845847261</v>
      </c>
      <c r="S92" s="35">
        <v>324.67899999999997</v>
      </c>
      <c r="T92" s="35">
        <f t="shared" si="60"/>
        <v>3.6725488747630228</v>
      </c>
      <c r="U92" s="35">
        <v>0.91283855999999997</v>
      </c>
      <c r="V92" s="35">
        <f t="shared" si="61"/>
        <v>1.0325411333558063E-2</v>
      </c>
      <c r="W92" s="35">
        <v>0.56202349000000007</v>
      </c>
      <c r="X92" s="35">
        <f t="shared" si="62"/>
        <v>6.357228942401226E-3</v>
      </c>
      <c r="Y92" s="36">
        <f t="shared" si="58"/>
        <v>50.67926517999819</v>
      </c>
      <c r="Z92" s="35">
        <f t="shared" si="63"/>
        <v>0.57324951201223118</v>
      </c>
      <c r="AA92" s="37">
        <v>360.57285159000003</v>
      </c>
      <c r="AB92" s="37">
        <f t="shared" si="64"/>
        <v>4.0785558055092848</v>
      </c>
      <c r="AC92" s="37">
        <v>18.791283150000002</v>
      </c>
      <c r="AD92" s="37">
        <f t="shared" si="65"/>
        <v>0.21255426371242325</v>
      </c>
      <c r="AE92" s="37">
        <v>8.7411551700000008</v>
      </c>
      <c r="AF92" s="37">
        <f t="shared" si="65"/>
        <v>9.8874025063870732E-2</v>
      </c>
      <c r="AG92" s="37">
        <v>7.5039811400000005</v>
      </c>
      <c r="AH92" s="37">
        <f t="shared" si="66"/>
        <v>8.4879950634164675E-2</v>
      </c>
      <c r="AI92" s="35">
        <v>158.06744716</v>
      </c>
    </row>
    <row r="93" spans="1:35" hidden="1" x14ac:dyDescent="0.25">
      <c r="A93" s="29" t="s">
        <v>56</v>
      </c>
      <c r="B93" s="35">
        <v>8656.2160000000003</v>
      </c>
      <c r="C93" s="35">
        <v>399.995</v>
      </c>
      <c r="D93" s="35">
        <f t="shared" si="60"/>
        <v>4.6208990163831398</v>
      </c>
      <c r="E93" s="35">
        <v>2029.04</v>
      </c>
      <c r="F93" s="35">
        <f t="shared" si="60"/>
        <v>23.440265353822038</v>
      </c>
      <c r="G93" s="35">
        <v>1073.5050000000001</v>
      </c>
      <c r="H93" s="35">
        <f t="shared" si="60"/>
        <v>12.401550515837407</v>
      </c>
      <c r="I93" s="35">
        <v>415.75799999999998</v>
      </c>
      <c r="J93" s="35">
        <f t="shared" si="60"/>
        <v>4.8029993706256864</v>
      </c>
      <c r="K93" s="35">
        <v>609.59</v>
      </c>
      <c r="L93" s="35">
        <f t="shared" si="60"/>
        <v>7.0422226062750743</v>
      </c>
      <c r="M93" s="35">
        <v>620.80600000000004</v>
      </c>
      <c r="N93" s="35">
        <f t="shared" si="60"/>
        <v>7.1717942343398082</v>
      </c>
      <c r="O93" s="35">
        <v>442.76799999999997</v>
      </c>
      <c r="P93" s="35">
        <f t="shared" si="60"/>
        <v>5.1150294770832883</v>
      </c>
      <c r="Q93" s="35">
        <v>2560.636</v>
      </c>
      <c r="R93" s="35">
        <f t="shared" si="60"/>
        <v>29.581470702671929</v>
      </c>
      <c r="S93" s="35">
        <v>324.67899999999997</v>
      </c>
      <c r="T93" s="35">
        <f t="shared" si="60"/>
        <v>3.7508190645889607</v>
      </c>
      <c r="U93" s="35">
        <v>0.91920000000000002</v>
      </c>
      <c r="V93" s="35">
        <f t="shared" si="61"/>
        <v>1.0618958676631913E-2</v>
      </c>
      <c r="W93" s="35">
        <v>0.59299999999999997</v>
      </c>
      <c r="X93" s="35">
        <f t="shared" si="62"/>
        <v>6.8505684238933029E-3</v>
      </c>
      <c r="Y93" s="36">
        <f t="shared" si="58"/>
        <v>50.201499999999683</v>
      </c>
      <c r="Z93" s="35">
        <f t="shared" si="63"/>
        <v>0.57994740426994518</v>
      </c>
      <c r="AA93" s="37">
        <v>392.15519999999998</v>
      </c>
      <c r="AB93" s="37">
        <f t="shared" si="64"/>
        <v>4.5303305740060082</v>
      </c>
      <c r="AC93" s="37">
        <v>43.228299999999997</v>
      </c>
      <c r="AD93" s="37">
        <f t="shared" si="65"/>
        <v>0.49939026475309767</v>
      </c>
      <c r="AE93" s="37">
        <v>9.9467999999999996</v>
      </c>
      <c r="AF93" s="37">
        <f t="shared" si="65"/>
        <v>0.11490933220705211</v>
      </c>
      <c r="AG93" s="37">
        <v>7.0739999999999998</v>
      </c>
      <c r="AH93" s="37">
        <f t="shared" si="66"/>
        <v>8.1721620624993649E-2</v>
      </c>
      <c r="AI93" s="35">
        <v>155.24299999999999</v>
      </c>
    </row>
    <row r="94" spans="1:35" hidden="1" x14ac:dyDescent="0.25">
      <c r="A94" s="29" t="s">
        <v>57</v>
      </c>
      <c r="B94" s="35">
        <v>8788.5652860400005</v>
      </c>
      <c r="C94" s="35">
        <v>423.68329698000002</v>
      </c>
      <c r="D94" s="35">
        <f t="shared" si="60"/>
        <v>4.8208471256735184</v>
      </c>
      <c r="E94" s="35">
        <v>2041.1829799300001</v>
      </c>
      <c r="F94" s="35">
        <f t="shared" si="60"/>
        <v>23.225440256696636</v>
      </c>
      <c r="G94" s="35">
        <v>1078.03128952</v>
      </c>
      <c r="H94" s="35">
        <f t="shared" si="60"/>
        <v>12.266294377221895</v>
      </c>
      <c r="I94" s="35">
        <v>415.30673962999998</v>
      </c>
      <c r="J94" s="35">
        <f t="shared" si="60"/>
        <v>4.7255351256215237</v>
      </c>
      <c r="K94" s="35">
        <v>610.02370494000002</v>
      </c>
      <c r="L94" s="35">
        <f t="shared" si="60"/>
        <v>6.9411068255814001</v>
      </c>
      <c r="M94" s="35">
        <v>645.69957323000006</v>
      </c>
      <c r="N94" s="35">
        <f t="shared" si="60"/>
        <v>7.3470418915320233</v>
      </c>
      <c r="O94" s="35">
        <v>441.02378733</v>
      </c>
      <c r="P94" s="35">
        <f t="shared" si="60"/>
        <v>5.0181545334883539</v>
      </c>
      <c r="Q94" s="35">
        <v>2620.0822472700002</v>
      </c>
      <c r="R94" s="35">
        <f t="shared" si="60"/>
        <v>29.812400113040194</v>
      </c>
      <c r="S94" s="35">
        <v>359.46499999999997</v>
      </c>
      <c r="T94" s="35">
        <f t="shared" si="60"/>
        <v>4.0901442761196085</v>
      </c>
      <c r="U94" s="35">
        <v>0.89221033999999999</v>
      </c>
      <c r="V94" s="35">
        <f>U94/$B94*100</f>
        <v>1.0151945294383959E-2</v>
      </c>
      <c r="W94" s="35">
        <v>1.18801157</v>
      </c>
      <c r="X94" s="35">
        <f>W94/$B94*100</f>
        <v>1.3517696362648298E-2</v>
      </c>
      <c r="Y94" s="36">
        <f t="shared" si="58"/>
        <v>53.812408310000151</v>
      </c>
      <c r="Z94" s="35">
        <f t="shared" si="63"/>
        <v>0.61230026242710245</v>
      </c>
      <c r="AA94" s="37">
        <v>394.26492587000001</v>
      </c>
      <c r="AB94" s="37">
        <f t="shared" si="64"/>
        <v>4.4861125000261559</v>
      </c>
      <c r="AC94" s="37">
        <v>43.258617039999997</v>
      </c>
      <c r="AD94" s="37">
        <f t="shared" si="65"/>
        <v>0.49221477717999296</v>
      </c>
      <c r="AE94" s="37">
        <v>9.9468195500000007</v>
      </c>
      <c r="AF94" s="37">
        <f t="shared" si="65"/>
        <v>0.11317910519251421</v>
      </c>
      <c r="AG94" s="37">
        <v>10.168674530000001</v>
      </c>
      <c r="AH94" s="37">
        <f t="shared" si="66"/>
        <v>0.11570346466165762</v>
      </c>
      <c r="AI94" s="35">
        <v>154.36434367999999</v>
      </c>
    </row>
    <row r="95" spans="1:35" hidden="1" x14ac:dyDescent="0.25">
      <c r="A95" s="29" t="s">
        <v>58</v>
      </c>
      <c r="B95" s="35">
        <v>8936.6295108199993</v>
      </c>
      <c r="C95" s="35">
        <v>448.51428231</v>
      </c>
      <c r="D95" s="35">
        <f t="shared" si="60"/>
        <v>5.0188304412414393</v>
      </c>
      <c r="E95" s="35">
        <v>2080.6857189100001</v>
      </c>
      <c r="F95" s="35">
        <f t="shared" si="60"/>
        <v>23.28266732318729</v>
      </c>
      <c r="G95" s="35">
        <v>1061.7641641299999</v>
      </c>
      <c r="H95" s="35">
        <f t="shared" si="60"/>
        <v>11.881035941396831</v>
      </c>
      <c r="I95" s="35">
        <v>435.24827262999997</v>
      </c>
      <c r="J95" s="35">
        <f t="shared" si="60"/>
        <v>4.8703851055146057</v>
      </c>
      <c r="K95" s="35">
        <v>623.66607327999998</v>
      </c>
      <c r="L95" s="35">
        <f t="shared" si="60"/>
        <v>6.9787616519729063</v>
      </c>
      <c r="M95" s="35">
        <v>659.99879017000001</v>
      </c>
      <c r="N95" s="35">
        <f t="shared" si="60"/>
        <v>7.3853211590668311</v>
      </c>
      <c r="O95" s="35">
        <v>462.99262822999998</v>
      </c>
      <c r="P95" s="35">
        <f t="shared" si="60"/>
        <v>5.1808416995404469</v>
      </c>
      <c r="Q95" s="35">
        <v>2631.1784742099999</v>
      </c>
      <c r="R95" s="35">
        <f t="shared" si="60"/>
        <v>29.442626787026448</v>
      </c>
      <c r="S95" s="35">
        <v>367.03500000000003</v>
      </c>
      <c r="T95" s="35">
        <f t="shared" si="60"/>
        <v>4.1070853340805211</v>
      </c>
      <c r="U95" s="35">
        <v>0.89235611000000004</v>
      </c>
      <c r="V95" s="35">
        <f>U95/$B95*100</f>
        <v>9.9853765775965355E-3</v>
      </c>
      <c r="W95" s="35">
        <v>1.2478576299999999</v>
      </c>
      <c r="X95" s="35">
        <f>W95/$B95*100</f>
        <v>1.3963403411645965E-2</v>
      </c>
      <c r="Y95" s="36">
        <f t="shared" si="58"/>
        <v>52.673412750000509</v>
      </c>
      <c r="Z95" s="35">
        <f t="shared" si="63"/>
        <v>0.58941027695314352</v>
      </c>
      <c r="AA95" s="37">
        <v>417.81064378999997</v>
      </c>
      <c r="AB95" s="37">
        <f t="shared" si="64"/>
        <v>4.6752597641441538</v>
      </c>
      <c r="AC95" s="37">
        <v>42.729035799999998</v>
      </c>
      <c r="AD95" s="37">
        <f t="shared" si="65"/>
        <v>0.4781336828192993</v>
      </c>
      <c r="AE95" s="37">
        <v>8.0885206299999997</v>
      </c>
      <c r="AF95" s="37">
        <f t="shared" si="65"/>
        <v>9.0509745538928807E-2</v>
      </c>
      <c r="AG95" s="37">
        <v>9.1392802399999997</v>
      </c>
      <c r="AH95" s="37">
        <f t="shared" si="66"/>
        <v>0.1022676416084458</v>
      </c>
      <c r="AI95" s="35">
        <v>180.01623324600001</v>
      </c>
    </row>
    <row r="96" spans="1:35" hidden="1" x14ac:dyDescent="0.25">
      <c r="A96" s="29" t="s">
        <v>59</v>
      </c>
      <c r="B96" s="35">
        <v>9065.2348196599996</v>
      </c>
      <c r="C96" s="35">
        <v>454.04449083999998</v>
      </c>
      <c r="D96" s="35">
        <f t="shared" si="60"/>
        <v>5.0086346341001828</v>
      </c>
      <c r="E96" s="35">
        <v>2183.8326649800001</v>
      </c>
      <c r="F96" s="35">
        <f t="shared" si="60"/>
        <v>24.090194114374931</v>
      </c>
      <c r="G96" s="35">
        <v>1036.3403407999999</v>
      </c>
      <c r="H96" s="35">
        <f t="shared" si="60"/>
        <v>11.432029742378685</v>
      </c>
      <c r="I96" s="35">
        <v>442.44183034999998</v>
      </c>
      <c r="J96" s="35">
        <f t="shared" si="60"/>
        <v>4.8806439011426974</v>
      </c>
      <c r="K96" s="35">
        <v>620.59929281999996</v>
      </c>
      <c r="L96" s="35">
        <f t="shared" si="60"/>
        <v>6.8459262795277063</v>
      </c>
      <c r="M96" s="35">
        <v>662.88988413000004</v>
      </c>
      <c r="N96" s="35">
        <f t="shared" si="60"/>
        <v>7.3124402987595456</v>
      </c>
      <c r="O96" s="35">
        <v>464.10231335999998</v>
      </c>
      <c r="P96" s="35">
        <f t="shared" si="60"/>
        <v>5.1195840217342168</v>
      </c>
      <c r="Q96" s="35">
        <v>2655.7860128000002</v>
      </c>
      <c r="R96" s="35">
        <f t="shared" si="60"/>
        <v>29.29638410513461</v>
      </c>
      <c r="S96" s="35">
        <v>369.5</v>
      </c>
      <c r="T96" s="35">
        <f t="shared" si="60"/>
        <v>4.0760113483067881</v>
      </c>
      <c r="U96" s="35">
        <v>0.87529182999999999</v>
      </c>
      <c r="V96" s="35">
        <f>U96/$B96*100</f>
        <v>9.6554788421115458E-3</v>
      </c>
      <c r="W96" s="35">
        <v>2.1821215600000001</v>
      </c>
      <c r="X96" s="35">
        <f>W96/$B96*100</f>
        <v>2.4071318652083659E-2</v>
      </c>
      <c r="Y96" s="36">
        <f t="shared" si="58"/>
        <v>47.920827429999257</v>
      </c>
      <c r="Z96" s="35">
        <f t="shared" si="63"/>
        <v>0.52862202009452819</v>
      </c>
      <c r="AA96" s="37">
        <v>424.71866456999999</v>
      </c>
      <c r="AB96" s="37">
        <f t="shared" si="64"/>
        <v>4.6851369326793613</v>
      </c>
      <c r="AC96" s="37">
        <v>42.629594330000003</v>
      </c>
      <c r="AD96" s="37">
        <f t="shared" si="65"/>
        <v>0.4702536137017449</v>
      </c>
      <c r="AE96" s="37">
        <v>11.38202916</v>
      </c>
      <c r="AF96" s="37">
        <f t="shared" si="65"/>
        <v>0.12555691481168818</v>
      </c>
      <c r="AG96" s="37">
        <v>15.4894607</v>
      </c>
      <c r="AH96" s="37">
        <f t="shared" si="66"/>
        <v>0.1708666240659053</v>
      </c>
      <c r="AI96" s="35">
        <v>150.89726716000001</v>
      </c>
    </row>
    <row r="97" spans="1:35" hidden="1" x14ac:dyDescent="0.25">
      <c r="A97" s="29" t="s">
        <v>60</v>
      </c>
      <c r="B97" s="35">
        <v>9091.7448746400005</v>
      </c>
      <c r="C97" s="35">
        <v>458.08037352000002</v>
      </c>
      <c r="D97" s="35">
        <f t="shared" si="60"/>
        <v>5.0384208953964764</v>
      </c>
      <c r="E97" s="35">
        <v>2404.4800781099998</v>
      </c>
      <c r="F97" s="35">
        <f t="shared" si="60"/>
        <v>26.446849436095821</v>
      </c>
      <c r="G97" s="35">
        <v>996.15122121000002</v>
      </c>
      <c r="H97" s="35">
        <f t="shared" si="60"/>
        <v>10.956656119867683</v>
      </c>
      <c r="I97" s="35">
        <v>334.76871578999999</v>
      </c>
      <c r="J97" s="35">
        <f t="shared" si="60"/>
        <v>3.6821173537742453</v>
      </c>
      <c r="K97" s="35">
        <v>651.23721748000003</v>
      </c>
      <c r="L97" s="35">
        <f t="shared" si="60"/>
        <v>7.1629508577228593</v>
      </c>
      <c r="M97" s="35">
        <v>572.70969448000005</v>
      </c>
      <c r="N97" s="35">
        <f t="shared" si="60"/>
        <v>6.2992275121740837</v>
      </c>
      <c r="O97" s="35">
        <v>459.51081069000003</v>
      </c>
      <c r="P97" s="35">
        <f t="shared" si="60"/>
        <v>5.0541542578007608</v>
      </c>
      <c r="Q97" s="35">
        <v>2670.0263732200001</v>
      </c>
      <c r="R97" s="35">
        <f t="shared" si="60"/>
        <v>29.367590160472069</v>
      </c>
      <c r="S97" s="35">
        <v>405.66500000000002</v>
      </c>
      <c r="T97" s="35">
        <f t="shared" si="60"/>
        <v>4.4619047893824986</v>
      </c>
      <c r="U97" s="35">
        <v>0.86146995000000004</v>
      </c>
      <c r="V97" s="35">
        <f>U97/$B97*100</f>
        <v>9.4752983269794089E-3</v>
      </c>
      <c r="W97" s="35">
        <v>3.83262744</v>
      </c>
      <c r="X97" s="35">
        <f>W97/$B97*100</f>
        <v>4.2155026266635733E-2</v>
      </c>
      <c r="Y97" s="36">
        <f t="shared" si="58"/>
        <v>47.926678609999215</v>
      </c>
      <c r="Z97" s="35">
        <f t="shared" si="63"/>
        <v>0.52714500099626838</v>
      </c>
      <c r="AA97" s="37">
        <v>423.83176522999997</v>
      </c>
      <c r="AB97" s="37">
        <f t="shared" si="64"/>
        <v>4.661720836582341</v>
      </c>
      <c r="AC97" s="37">
        <v>42.90915699</v>
      </c>
      <c r="AD97" s="37">
        <f t="shared" si="65"/>
        <v>0.47195733692097297</v>
      </c>
      <c r="AE97" s="37">
        <v>7.8429418999999996</v>
      </c>
      <c r="AF97" s="37">
        <f t="shared" si="65"/>
        <v>8.6264430075206552E-2</v>
      </c>
      <c r="AG97" s="37">
        <v>17.575750020000001</v>
      </c>
      <c r="AH97" s="37">
        <f t="shared" si="66"/>
        <v>0.19331547752758443</v>
      </c>
      <c r="AI97" s="35">
        <v>137.64011972</v>
      </c>
    </row>
    <row r="98" spans="1:35" hidden="1" x14ac:dyDescent="0.25">
      <c r="A98" s="29" t="s">
        <v>61</v>
      </c>
      <c r="B98" s="35">
        <v>9163.3597792400014</v>
      </c>
      <c r="C98" s="35">
        <v>492.87668797999999</v>
      </c>
      <c r="D98" s="35">
        <f t="shared" si="60"/>
        <v>5.378776997238873</v>
      </c>
      <c r="E98" s="35">
        <v>2206.7763883799998</v>
      </c>
      <c r="F98" s="35">
        <f t="shared" si="60"/>
        <v>24.082612071824897</v>
      </c>
      <c r="G98" s="35">
        <v>983.95156850000001</v>
      </c>
      <c r="H98" s="35">
        <f t="shared" si="60"/>
        <v>10.737890819578928</v>
      </c>
      <c r="I98" s="35">
        <v>441.34799163000002</v>
      </c>
      <c r="J98" s="35">
        <f t="shared" si="60"/>
        <v>4.8164429015424401</v>
      </c>
      <c r="K98" s="35">
        <v>660.64497155000004</v>
      </c>
      <c r="L98" s="35">
        <f t="shared" si="60"/>
        <v>7.2096369395723237</v>
      </c>
      <c r="M98" s="35">
        <v>682.38481673000001</v>
      </c>
      <c r="N98" s="35">
        <f t="shared" si="60"/>
        <v>7.4468844743603002</v>
      </c>
      <c r="O98" s="35">
        <v>454.41087775</v>
      </c>
      <c r="P98" s="35">
        <f t="shared" si="60"/>
        <v>4.9589985409007733</v>
      </c>
      <c r="Q98" s="35">
        <v>2700.8020430699999</v>
      </c>
      <c r="R98" s="35">
        <f t="shared" si="60"/>
        <v>29.47392777470974</v>
      </c>
      <c r="S98" s="35">
        <v>401.41500000000002</v>
      </c>
      <c r="T98" s="35">
        <f t="shared" si="60"/>
        <v>4.380653053800458</v>
      </c>
      <c r="U98" s="35">
        <v>0.68196042999999995</v>
      </c>
      <c r="V98" s="35">
        <f>U98/$B98*100</f>
        <v>7.4422531301784264E-3</v>
      </c>
      <c r="W98" s="35">
        <v>0.97847786000000003</v>
      </c>
      <c r="X98" s="35">
        <f>W98/$B98*100</f>
        <v>1.0678156086556648E-2</v>
      </c>
      <c r="Y98" s="36">
        <f t="shared" si="58"/>
        <v>46.043434350000659</v>
      </c>
      <c r="Z98" s="35">
        <f t="shared" si="63"/>
        <v>0.50247327900748928</v>
      </c>
      <c r="AA98" s="37">
        <v>430.83065515999999</v>
      </c>
      <c r="AB98" s="37">
        <f t="shared" si="64"/>
        <v>4.7016669162774329</v>
      </c>
      <c r="AC98" s="37">
        <v>44.068022310000003</v>
      </c>
      <c r="AD98" s="37">
        <f t="shared" si="65"/>
        <v>0.4809155525011477</v>
      </c>
      <c r="AE98" s="37">
        <v>7.71011062</v>
      </c>
      <c r="AF98" s="37">
        <f t="shared" si="65"/>
        <v>8.4140651526829688E-2</v>
      </c>
      <c r="AG98" s="37">
        <v>9.8517729200000002</v>
      </c>
      <c r="AH98" s="37">
        <f t="shared" si="66"/>
        <v>0.10751267174207904</v>
      </c>
      <c r="AI98" s="35">
        <v>146.31131445</v>
      </c>
    </row>
    <row r="99" spans="1:35" x14ac:dyDescent="0.25">
      <c r="A99" s="29" t="s">
        <v>64</v>
      </c>
      <c r="B99" s="35">
        <v>9850.3003707400003</v>
      </c>
      <c r="C99" s="35">
        <v>633.80456287000004</v>
      </c>
      <c r="D99" s="35">
        <v>6.4343678772750534</v>
      </c>
      <c r="E99" s="35">
        <v>2744.4101818700001</v>
      </c>
      <c r="F99" s="35">
        <v>27.861182690653596</v>
      </c>
      <c r="G99" s="35">
        <v>289.68772906999999</v>
      </c>
      <c r="H99" s="35">
        <v>2.9409024919738291</v>
      </c>
      <c r="I99" s="35">
        <v>466.71578469000002</v>
      </c>
      <c r="J99" s="35">
        <v>4.7380868311017625</v>
      </c>
      <c r="K99" s="35">
        <v>875.34030221</v>
      </c>
      <c r="L99" s="35">
        <v>8.8864325884941557</v>
      </c>
      <c r="M99" s="35">
        <v>582.92162757000006</v>
      </c>
      <c r="N99" s="35">
        <v>5.9178056062285167</v>
      </c>
      <c r="O99" s="35">
        <v>409.66164846999999</v>
      </c>
      <c r="P99" s="35">
        <v>4.1588746845414661</v>
      </c>
      <c r="Q99" s="35">
        <v>3314.9694567000001</v>
      </c>
      <c r="R99" s="35">
        <v>33.653486004822859</v>
      </c>
      <c r="S99" s="35">
        <v>575.79999999999995</v>
      </c>
      <c r="T99" s="35">
        <v>5.845507023424334</v>
      </c>
      <c r="U99" s="35">
        <v>0.97424274999999994</v>
      </c>
      <c r="V99" s="35">
        <v>9.8904877347086445E-3</v>
      </c>
      <c r="W99" s="35">
        <v>0.95838124999999996</v>
      </c>
      <c r="X99" s="35">
        <v>9.7294621882479896E-3</v>
      </c>
      <c r="Y99" s="36">
        <f t="shared" si="58"/>
        <v>46.798042829999929</v>
      </c>
      <c r="Z99" s="35">
        <v>0.47509254610155854</v>
      </c>
      <c r="AA99" s="37">
        <v>419.86985619000006</v>
      </c>
      <c r="AB99" s="37">
        <v>4.2625081508906062</v>
      </c>
      <c r="AC99" s="37">
        <v>49.116020549999995</v>
      </c>
      <c r="AD99" s="37">
        <v>0.49862459723459351</v>
      </c>
      <c r="AE99" s="37">
        <v>2.8309023600000001</v>
      </c>
      <c r="AF99" s="37">
        <v>2.8739249093450027E-2</v>
      </c>
      <c r="AG99" s="37">
        <v>12.24163136</v>
      </c>
      <c r="AH99" s="37">
        <v>0.12427673166559845</v>
      </c>
      <c r="AI99" s="35">
        <v>176.36550674999998</v>
      </c>
    </row>
    <row r="100" spans="1:35" hidden="1" x14ac:dyDescent="0.25">
      <c r="A100" s="29" t="s">
        <v>50</v>
      </c>
      <c r="B100" s="35">
        <v>9149.7656655299998</v>
      </c>
      <c r="C100" s="35">
        <v>496.97677403</v>
      </c>
      <c r="D100" s="35">
        <f t="shared" ref="D100:D111" si="67">C100/$B100*100</f>
        <v>5.4315792578411637</v>
      </c>
      <c r="E100" s="35">
        <v>2190.2161523599998</v>
      </c>
      <c r="F100" s="35">
        <f t="shared" ref="F100:F111" si="68">E100/$B100*100</f>
        <v>23.937401595007206</v>
      </c>
      <c r="G100" s="35">
        <v>980.29749227000002</v>
      </c>
      <c r="H100" s="35">
        <f t="shared" ref="H100:H111" si="69">G100/$B100*100</f>
        <v>10.713908181966717</v>
      </c>
      <c r="I100" s="35">
        <v>448.29195554</v>
      </c>
      <c r="J100" s="35">
        <f t="shared" ref="J100:J111" si="70">I100/$B100*100</f>
        <v>4.8994911118746414</v>
      </c>
      <c r="K100" s="35">
        <v>642.78986091000002</v>
      </c>
      <c r="L100" s="35">
        <f t="shared" ref="L100:L111" si="71">K100/$B100*100</f>
        <v>7.0252057200938873</v>
      </c>
      <c r="M100" s="35">
        <v>681.26383382999995</v>
      </c>
      <c r="N100" s="35">
        <f t="shared" ref="N100:N111" si="72">M100/$B100*100</f>
        <v>7.4456970673744332</v>
      </c>
      <c r="O100" s="35">
        <v>451.51647219</v>
      </c>
      <c r="P100" s="35">
        <f t="shared" ref="P100:P111" si="73">O100/$B100*100</f>
        <v>4.9347326335471342</v>
      </c>
      <c r="Q100" s="35">
        <v>2719.9722581400001</v>
      </c>
      <c r="R100" s="35">
        <f t="shared" ref="R100:R111" si="74">Q100/$B100*100</f>
        <v>29.727234090671612</v>
      </c>
      <c r="S100" s="35">
        <v>405.654</v>
      </c>
      <c r="T100" s="35">
        <f t="shared" ref="T100:T111" si="75">S100/$B100*100</f>
        <v>4.4334905923134649</v>
      </c>
      <c r="U100" s="35">
        <v>0.71123934</v>
      </c>
      <c r="V100" s="35">
        <f t="shared" ref="V100:V111" si="76">U100/$B100*100</f>
        <v>7.7733066178892292E-3</v>
      </c>
      <c r="W100" s="35">
        <v>2.1862370200000001</v>
      </c>
      <c r="X100" s="35">
        <f t="shared" ref="X100:X111" si="77">W100/$B100*100</f>
        <v>2.3893912695887195E-2</v>
      </c>
      <c r="Y100" s="36">
        <f t="shared" si="58"/>
        <v>44.543148709999279</v>
      </c>
      <c r="Z100" s="35">
        <f t="shared" ref="Z100:Z111" si="78">Y100/$B100*100</f>
        <v>0.4868228361061433</v>
      </c>
      <c r="AA100" s="37">
        <v>434.5540914</v>
      </c>
      <c r="AB100" s="37">
        <f t="shared" ref="AB100:AB111" si="79">AA100/B100*100</f>
        <v>4.7493466749328874</v>
      </c>
      <c r="AC100" s="37">
        <v>44.006350779999998</v>
      </c>
      <c r="AD100" s="37">
        <f t="shared" ref="AD100:AD109" si="80">AC100/$B100*100</f>
        <v>0.48095604181192908</v>
      </c>
      <c r="AE100" s="37">
        <v>2.8319034699999999</v>
      </c>
      <c r="AF100" s="37">
        <f t="shared" ref="AF100:AF111" si="81">AE100/$B100*100</f>
        <v>3.0950557353273612E-2</v>
      </c>
      <c r="AG100" s="37">
        <v>9.6078955399999995</v>
      </c>
      <c r="AH100" s="37">
        <f t="shared" ref="AH100:AH111" si="82">AG100/$B100*100</f>
        <v>0.10500701210519432</v>
      </c>
      <c r="AI100" s="35">
        <v>141.81967291999999</v>
      </c>
    </row>
    <row r="101" spans="1:35" hidden="1" x14ac:dyDescent="0.25">
      <c r="A101" s="29" t="s">
        <v>51</v>
      </c>
      <c r="B101" s="35">
        <v>9152.8044223100005</v>
      </c>
      <c r="C101" s="35">
        <v>509.41080163999999</v>
      </c>
      <c r="D101" s="35">
        <f t="shared" si="67"/>
        <v>5.5656253333492955</v>
      </c>
      <c r="E101" s="35">
        <v>2144.2065533800001</v>
      </c>
      <c r="F101" s="35">
        <f t="shared" si="68"/>
        <v>23.426771232579682</v>
      </c>
      <c r="G101" s="35">
        <v>979.71843861000002</v>
      </c>
      <c r="H101" s="35">
        <f t="shared" si="69"/>
        <v>10.704024618093358</v>
      </c>
      <c r="I101" s="35">
        <v>439.80921855999998</v>
      </c>
      <c r="J101" s="35">
        <f t="shared" si="70"/>
        <v>4.805185364695034</v>
      </c>
      <c r="K101" s="35">
        <v>647.62620818000005</v>
      </c>
      <c r="L101" s="35">
        <f t="shared" si="71"/>
        <v>7.0757133912029007</v>
      </c>
      <c r="M101" s="35">
        <v>685.77140872999996</v>
      </c>
      <c r="N101" s="35">
        <f t="shared" si="72"/>
        <v>7.4924730944586679</v>
      </c>
      <c r="O101" s="35">
        <v>448.52894794000002</v>
      </c>
      <c r="P101" s="35">
        <f t="shared" si="73"/>
        <v>4.9004537543346691</v>
      </c>
      <c r="Q101" s="35">
        <v>2748.32464157</v>
      </c>
      <c r="R101" s="35">
        <f t="shared" si="74"/>
        <v>30.027131737579214</v>
      </c>
      <c r="S101" s="35">
        <v>423.3</v>
      </c>
      <c r="T101" s="35">
        <f t="shared" si="75"/>
        <v>4.6248120299413848</v>
      </c>
      <c r="U101" s="35">
        <v>0.68912799000000002</v>
      </c>
      <c r="V101" s="35">
        <f t="shared" si="76"/>
        <v>7.529145802790755E-3</v>
      </c>
      <c r="W101" s="35">
        <v>1.9701588800000001</v>
      </c>
      <c r="X101" s="35">
        <f t="shared" si="77"/>
        <v>2.1525193690337459E-2</v>
      </c>
      <c r="Y101" s="36">
        <f t="shared" si="58"/>
        <v>43.535314710001366</v>
      </c>
      <c r="Z101" s="35">
        <f t="shared" si="78"/>
        <v>0.47565000519276746</v>
      </c>
      <c r="AA101" s="37">
        <v>445.17747466999998</v>
      </c>
      <c r="AB101" s="37">
        <f t="shared" si="79"/>
        <v>4.8638368540343544</v>
      </c>
      <c r="AC101" s="37">
        <v>43.811693380000001</v>
      </c>
      <c r="AD101" s="37">
        <f t="shared" si="80"/>
        <v>0.47866961161334126</v>
      </c>
      <c r="AE101" s="37">
        <v>2.8319034699999999</v>
      </c>
      <c r="AF101" s="37">
        <f t="shared" si="81"/>
        <v>3.0940281681286916E-2</v>
      </c>
      <c r="AG101" s="37">
        <v>11.392530600000001</v>
      </c>
      <c r="AH101" s="37">
        <f t="shared" si="82"/>
        <v>0.12447038169231125</v>
      </c>
      <c r="AI101" s="35">
        <v>194.93276281999999</v>
      </c>
    </row>
    <row r="102" spans="1:35" hidden="1" x14ac:dyDescent="0.25">
      <c r="A102" s="29" t="s">
        <v>52</v>
      </c>
      <c r="B102" s="35">
        <v>8365.9867119600003</v>
      </c>
      <c r="C102" s="35">
        <v>539.92218614000001</v>
      </c>
      <c r="D102" s="35">
        <f t="shared" si="67"/>
        <v>6.4537777160000527</v>
      </c>
      <c r="E102" s="35">
        <v>2183.6995904300002</v>
      </c>
      <c r="F102" s="35">
        <f t="shared" si="68"/>
        <v>26.10211641034747</v>
      </c>
      <c r="G102" s="35">
        <v>301.15811098</v>
      </c>
      <c r="H102" s="35">
        <f t="shared" si="69"/>
        <v>3.5997918876617971</v>
      </c>
      <c r="I102" s="35">
        <v>432.88104825999994</v>
      </c>
      <c r="J102" s="35">
        <f t="shared" si="70"/>
        <v>5.1742975833460738</v>
      </c>
      <c r="K102" s="35">
        <v>652.58418587000006</v>
      </c>
      <c r="L102" s="35">
        <f t="shared" si="71"/>
        <v>7.8004449246502725</v>
      </c>
      <c r="M102" s="35">
        <v>483.32464519000001</v>
      </c>
      <c r="N102" s="35">
        <f t="shared" si="72"/>
        <v>5.7772581027297107</v>
      </c>
      <c r="O102" s="35">
        <v>448.3753605</v>
      </c>
      <c r="P102" s="35">
        <f t="shared" si="73"/>
        <v>5.3595036178936715</v>
      </c>
      <c r="Q102" s="35">
        <v>2760.84761596</v>
      </c>
      <c r="R102" s="35">
        <f t="shared" si="74"/>
        <v>33.000860639822641</v>
      </c>
      <c r="S102" s="35">
        <v>402.88099999999997</v>
      </c>
      <c r="T102" s="35">
        <f t="shared" si="75"/>
        <v>4.8157021266127762</v>
      </c>
      <c r="U102" s="35">
        <v>0.81178722999999997</v>
      </c>
      <c r="V102" s="35">
        <f t="shared" si="76"/>
        <v>9.7034248074942594E-3</v>
      </c>
      <c r="W102" s="35">
        <v>1.0341541199999997</v>
      </c>
      <c r="X102" s="35">
        <f t="shared" si="77"/>
        <v>1.2361412414408629E-2</v>
      </c>
      <c r="Y102" s="36">
        <f t="shared" si="58"/>
        <v>42.576903770000058</v>
      </c>
      <c r="Z102" s="35">
        <f t="shared" si="78"/>
        <v>0.50892865642652996</v>
      </c>
      <c r="AA102" s="37">
        <v>458.54266514000005</v>
      </c>
      <c r="AB102" s="37">
        <f t="shared" si="79"/>
        <v>5.4810350640943311</v>
      </c>
      <c r="AC102" s="37">
        <v>43.710342609999998</v>
      </c>
      <c r="AD102" s="37">
        <f t="shared" si="80"/>
        <v>0.52247683524899424</v>
      </c>
      <c r="AE102" s="37">
        <v>3.8762518200000002</v>
      </c>
      <c r="AF102" s="37">
        <f t="shared" si="81"/>
        <v>4.6333468525099585E-2</v>
      </c>
      <c r="AG102" s="37">
        <v>12.641863939999999</v>
      </c>
      <c r="AH102" s="37">
        <f t="shared" si="82"/>
        <v>0.15111025603145187</v>
      </c>
      <c r="AI102" s="35">
        <v>161.02556691000001</v>
      </c>
    </row>
    <row r="103" spans="1:35" hidden="1" x14ac:dyDescent="0.25">
      <c r="A103" s="29" t="s">
        <v>53</v>
      </c>
      <c r="B103" s="35">
        <v>8569.6254799500002</v>
      </c>
      <c r="C103" s="35">
        <v>553.16266524000002</v>
      </c>
      <c r="D103" s="35">
        <f t="shared" si="67"/>
        <v>6.4549222895937746</v>
      </c>
      <c r="E103" s="35">
        <v>2280.9460880000001</v>
      </c>
      <c r="F103" s="35">
        <f t="shared" si="68"/>
        <v>26.616636786947524</v>
      </c>
      <c r="G103" s="35">
        <v>295.25911791999999</v>
      </c>
      <c r="H103" s="35">
        <f t="shared" si="69"/>
        <v>3.4454144887755667</v>
      </c>
      <c r="I103" s="35">
        <v>431.98771991000001</v>
      </c>
      <c r="J103" s="35">
        <f t="shared" si="70"/>
        <v>5.0409171430035524</v>
      </c>
      <c r="K103" s="35">
        <v>667.27774612999997</v>
      </c>
      <c r="L103" s="35">
        <f t="shared" si="71"/>
        <v>7.7865450210304079</v>
      </c>
      <c r="M103" s="35">
        <v>493.47095916000001</v>
      </c>
      <c r="N103" s="35">
        <f t="shared" si="72"/>
        <v>5.7583725253169318</v>
      </c>
      <c r="O103" s="35">
        <v>455.14761211000001</v>
      </c>
      <c r="P103" s="35">
        <f t="shared" si="73"/>
        <v>5.3111727364852772</v>
      </c>
      <c r="Q103" s="35">
        <v>2832.9519947499998</v>
      </c>
      <c r="R103" s="35">
        <f t="shared" si="74"/>
        <v>33.058060721301544</v>
      </c>
      <c r="S103" s="35">
        <v>378.75683440500001</v>
      </c>
      <c r="T103" s="35">
        <f t="shared" si="75"/>
        <v>4.4197594783011436</v>
      </c>
      <c r="U103" s="35">
        <v>0.95343544999999996</v>
      </c>
      <c r="V103" s="35">
        <f t="shared" si="76"/>
        <v>1.1125754004427774E-2</v>
      </c>
      <c r="W103" s="35">
        <v>0.96436994999999992</v>
      </c>
      <c r="X103" s="35">
        <f t="shared" si="77"/>
        <v>1.1253350012276458E-2</v>
      </c>
      <c r="Y103" s="36">
        <f t="shared" si="58"/>
        <v>41.149121900000374</v>
      </c>
      <c r="Z103" s="35">
        <f t="shared" si="78"/>
        <v>0.480174098579632</v>
      </c>
      <c r="AA103" s="37">
        <v>457.32332653000003</v>
      </c>
      <c r="AB103" s="37">
        <f t="shared" si="79"/>
        <v>5.3365614121641674</v>
      </c>
      <c r="AC103" s="37">
        <v>43.663654530000002</v>
      </c>
      <c r="AD103" s="37">
        <f t="shared" si="80"/>
        <v>0.50951648508045133</v>
      </c>
      <c r="AE103" s="37">
        <v>4.3976874199999996</v>
      </c>
      <c r="AF103" s="37">
        <f t="shared" si="81"/>
        <v>5.1317148343169583E-2</v>
      </c>
      <c r="AG103" s="37">
        <v>10.969980949999998</v>
      </c>
      <c r="AH103" s="37">
        <f t="shared" si="82"/>
        <v>0.12801003936130012</v>
      </c>
      <c r="AI103" s="35">
        <v>162.24791894000001</v>
      </c>
    </row>
    <row r="104" spans="1:35" hidden="1" x14ac:dyDescent="0.25">
      <c r="A104" s="29" t="s">
        <v>54</v>
      </c>
      <c r="B104" s="35">
        <v>8680.4269249299996</v>
      </c>
      <c r="C104" s="35">
        <v>551.82263233000003</v>
      </c>
      <c r="D104" s="35">
        <f t="shared" si="67"/>
        <v>6.3570909253918995</v>
      </c>
      <c r="E104" s="35">
        <v>2322.0302234699998</v>
      </c>
      <c r="F104" s="35">
        <f t="shared" si="68"/>
        <v>26.750184565245043</v>
      </c>
      <c r="G104" s="35">
        <v>290.21845540999999</v>
      </c>
      <c r="H104" s="35">
        <f t="shared" si="69"/>
        <v>3.3433661491521667</v>
      </c>
      <c r="I104" s="35">
        <v>428.90136669999998</v>
      </c>
      <c r="J104" s="35">
        <f t="shared" si="70"/>
        <v>4.9410169615990256</v>
      </c>
      <c r="K104" s="35">
        <v>671.23456868000005</v>
      </c>
      <c r="L104" s="35">
        <f t="shared" si="71"/>
        <v>7.732736816805966</v>
      </c>
      <c r="M104" s="35">
        <v>509.40545083000001</v>
      </c>
      <c r="N104" s="35">
        <f t="shared" si="72"/>
        <v>5.8684377535279806</v>
      </c>
      <c r="O104" s="35">
        <v>464.88643898999999</v>
      </c>
      <c r="P104" s="35">
        <f t="shared" si="73"/>
        <v>5.3555711373464376</v>
      </c>
      <c r="Q104" s="35">
        <v>2872.17626875</v>
      </c>
      <c r="R104" s="35">
        <f t="shared" si="74"/>
        <v>33.087960921612869</v>
      </c>
      <c r="S104" s="35">
        <v>383.6</v>
      </c>
      <c r="T104" s="35">
        <f t="shared" si="75"/>
        <v>4.4191374838754651</v>
      </c>
      <c r="U104" s="35">
        <v>0.86951122000000003</v>
      </c>
      <c r="V104" s="35">
        <f t="shared" si="76"/>
        <v>1.0016917687571132E-2</v>
      </c>
      <c r="W104" s="35">
        <v>0.97244262000000004</v>
      </c>
      <c r="X104" s="35">
        <f t="shared" si="77"/>
        <v>1.1202704986861484E-2</v>
      </c>
      <c r="Y104" s="36">
        <f t="shared" si="58"/>
        <v>42.100117579999441</v>
      </c>
      <c r="Z104" s="35">
        <f t="shared" si="78"/>
        <v>0.48500054137992693</v>
      </c>
      <c r="AA104" s="37">
        <v>467.63716241999998</v>
      </c>
      <c r="AB104" s="37">
        <f t="shared" si="79"/>
        <v>5.387259940832589</v>
      </c>
      <c r="AC104" s="37">
        <v>43.882808179999998</v>
      </c>
      <c r="AD104" s="37">
        <f t="shared" si="80"/>
        <v>0.50553744141281243</v>
      </c>
      <c r="AE104" s="37">
        <v>5.8882443200000001</v>
      </c>
      <c r="AF104" s="37">
        <f t="shared" si="81"/>
        <v>6.783357974121168E-2</v>
      </c>
      <c r="AG104" s="37">
        <v>8.4012334299999996</v>
      </c>
      <c r="AH104" s="37">
        <f t="shared" si="82"/>
        <v>9.6783643277634626E-2</v>
      </c>
      <c r="AI104" s="35">
        <v>162.19510994000001</v>
      </c>
    </row>
    <row r="105" spans="1:35" hidden="1" x14ac:dyDescent="0.25">
      <c r="A105" s="29" t="s">
        <v>55</v>
      </c>
      <c r="B105" s="35">
        <v>8885.8892618499995</v>
      </c>
      <c r="C105" s="35">
        <v>557.85969064999995</v>
      </c>
      <c r="D105" s="35">
        <f t="shared" si="67"/>
        <v>6.2780400949297475</v>
      </c>
      <c r="E105" s="35">
        <v>2377.0655094700001</v>
      </c>
      <c r="F105" s="35">
        <f t="shared" si="68"/>
        <v>26.751014326450278</v>
      </c>
      <c r="G105" s="35">
        <v>304.54489135</v>
      </c>
      <c r="H105" s="35">
        <f t="shared" si="69"/>
        <v>3.4272865931101557</v>
      </c>
      <c r="I105" s="35">
        <v>434.57078517000002</v>
      </c>
      <c r="J105" s="35">
        <f t="shared" si="70"/>
        <v>4.8905716959106522</v>
      </c>
      <c r="K105" s="35">
        <v>697.01775180000004</v>
      </c>
      <c r="L105" s="35">
        <f t="shared" si="71"/>
        <v>7.8440967612833425</v>
      </c>
      <c r="M105" s="35">
        <v>530.95907560000001</v>
      </c>
      <c r="N105" s="35">
        <f t="shared" si="72"/>
        <v>5.9753060155676181</v>
      </c>
      <c r="O105" s="35">
        <v>464.34960897000002</v>
      </c>
      <c r="P105" s="35">
        <f t="shared" si="73"/>
        <v>5.2256965542391276</v>
      </c>
      <c r="Q105" s="35">
        <v>2945.8090357699998</v>
      </c>
      <c r="R105" s="35">
        <f t="shared" si="74"/>
        <v>33.1515389058168</v>
      </c>
      <c r="S105" s="35">
        <v>431.96199999999999</v>
      </c>
      <c r="T105" s="35">
        <f t="shared" si="75"/>
        <v>4.861212955405068</v>
      </c>
      <c r="U105" s="35">
        <v>0.87783475999999994</v>
      </c>
      <c r="V105" s="35">
        <f t="shared" si="76"/>
        <v>9.878974789488194E-3</v>
      </c>
      <c r="W105" s="35">
        <v>2.1427490799999998</v>
      </c>
      <c r="X105" s="35">
        <f t="shared" si="77"/>
        <v>2.4114064635033385E-2</v>
      </c>
      <c r="Y105" s="36">
        <f t="shared" si="58"/>
        <v>41.461094319998892</v>
      </c>
      <c r="Z105" s="35">
        <f t="shared" si="78"/>
        <v>0.46659476725649507</v>
      </c>
      <c r="AA105" s="37">
        <v>468.97917860000001</v>
      </c>
      <c r="AB105" s="37">
        <f t="shared" si="79"/>
        <v>5.2777967942215929</v>
      </c>
      <c r="AC105" s="37">
        <v>43.735477620000005</v>
      </c>
      <c r="AD105" s="37">
        <f t="shared" si="80"/>
        <v>0.49219021677178193</v>
      </c>
      <c r="AE105" s="37">
        <v>6.5511901100000003</v>
      </c>
      <c r="AF105" s="37">
        <f t="shared" si="81"/>
        <v>7.3725768090835669E-2</v>
      </c>
      <c r="AG105" s="37">
        <v>9.9653885799999991</v>
      </c>
      <c r="AH105" s="37">
        <f t="shared" si="82"/>
        <v>0.11214846692704848</v>
      </c>
      <c r="AI105" s="35">
        <v>173.43475409999999</v>
      </c>
    </row>
    <row r="106" spans="1:35" hidden="1" x14ac:dyDescent="0.25">
      <c r="A106" s="29" t="s">
        <v>56</v>
      </c>
      <c r="B106" s="35">
        <v>9050.1703139700003</v>
      </c>
      <c r="C106" s="35">
        <v>581.14177906999998</v>
      </c>
      <c r="D106" s="35">
        <f t="shared" si="67"/>
        <v>6.4213352777785779</v>
      </c>
      <c r="E106" s="35">
        <v>2460.7363990700001</v>
      </c>
      <c r="F106" s="35">
        <f t="shared" si="68"/>
        <v>27.189945754629218</v>
      </c>
      <c r="G106" s="35">
        <v>293.92823862</v>
      </c>
      <c r="H106" s="35">
        <f t="shared" si="69"/>
        <v>3.2477647206957783</v>
      </c>
      <c r="I106" s="35">
        <v>442.07835722999999</v>
      </c>
      <c r="J106" s="35">
        <f t="shared" si="70"/>
        <v>4.8847517990639373</v>
      </c>
      <c r="K106" s="35">
        <v>681.30871654999999</v>
      </c>
      <c r="L106" s="35">
        <f t="shared" si="71"/>
        <v>7.5281314374638892</v>
      </c>
      <c r="M106" s="35">
        <v>540.08972892999998</v>
      </c>
      <c r="N106" s="35">
        <f t="shared" si="72"/>
        <v>5.9677300005758802</v>
      </c>
      <c r="O106" s="35">
        <v>447.40480160999999</v>
      </c>
      <c r="P106" s="35">
        <f t="shared" si="73"/>
        <v>4.9436064304710179</v>
      </c>
      <c r="Q106" s="35">
        <v>3012.4000034000001</v>
      </c>
      <c r="R106" s="35">
        <f t="shared" si="74"/>
        <v>33.285561474462057</v>
      </c>
      <c r="S106" s="35">
        <v>451.9</v>
      </c>
      <c r="T106" s="35">
        <f t="shared" si="75"/>
        <v>4.9932761961665992</v>
      </c>
      <c r="U106" s="35">
        <v>0.86971259999999995</v>
      </c>
      <c r="V106" s="35">
        <f t="shared" si="76"/>
        <v>9.6099031269886309E-3</v>
      </c>
      <c r="W106" s="35">
        <v>1.1619779600000002</v>
      </c>
      <c r="X106" s="35">
        <f t="shared" si="77"/>
        <v>1.2839293844076621E-2</v>
      </c>
      <c r="Y106" s="36">
        <f t="shared" si="58"/>
        <v>41.959761200000628</v>
      </c>
      <c r="Z106" s="35">
        <f t="shared" si="78"/>
        <v>0.46363504491435714</v>
      </c>
      <c r="AA106" s="37">
        <v>486.03643492000003</v>
      </c>
      <c r="AB106" s="37">
        <f t="shared" si="79"/>
        <v>5.370467273635124</v>
      </c>
      <c r="AC106" s="37">
        <v>47.64222075</v>
      </c>
      <c r="AD106" s="37">
        <f t="shared" si="80"/>
        <v>0.52642347157222713</v>
      </c>
      <c r="AE106" s="37">
        <v>2.72354568</v>
      </c>
      <c r="AF106" s="37">
        <f t="shared" si="81"/>
        <v>3.0093861060226542E-2</v>
      </c>
      <c r="AG106" s="37">
        <v>10.688636379999998</v>
      </c>
      <c r="AH106" s="37">
        <f t="shared" si="82"/>
        <v>0.1181042567066482</v>
      </c>
      <c r="AI106" s="35">
        <v>172.00800230999997</v>
      </c>
    </row>
    <row r="107" spans="1:35" hidden="1" x14ac:dyDescent="0.25">
      <c r="A107" s="29" t="s">
        <v>57</v>
      </c>
      <c r="B107" s="35">
        <v>9458.3536229799993</v>
      </c>
      <c r="C107" s="35">
        <v>592.54335993999996</v>
      </c>
      <c r="D107" s="35">
        <f t="shared" si="67"/>
        <v>6.2647621727776981</v>
      </c>
      <c r="E107" s="35">
        <v>2734.9869400399998</v>
      </c>
      <c r="F107" s="35">
        <f t="shared" si="68"/>
        <v>28.916099450913745</v>
      </c>
      <c r="G107" s="35">
        <v>298.77178610999999</v>
      </c>
      <c r="H107" s="35">
        <f t="shared" si="69"/>
        <v>3.1588138699329722</v>
      </c>
      <c r="I107" s="35">
        <v>451.19133175000002</v>
      </c>
      <c r="J107" s="35">
        <f t="shared" si="70"/>
        <v>4.7702945960255319</v>
      </c>
      <c r="K107" s="35">
        <v>728.28556792999996</v>
      </c>
      <c r="L107" s="35">
        <f t="shared" si="71"/>
        <v>7.699919002399727</v>
      </c>
      <c r="M107" s="35">
        <v>549.35742028000004</v>
      </c>
      <c r="N107" s="35">
        <f t="shared" si="72"/>
        <v>5.8081717197090432</v>
      </c>
      <c r="O107" s="35">
        <v>421.14639258</v>
      </c>
      <c r="P107" s="35">
        <f t="shared" si="73"/>
        <v>4.4526395329181128</v>
      </c>
      <c r="Q107" s="35">
        <v>3090.8108148599999</v>
      </c>
      <c r="R107" s="35">
        <f t="shared" si="74"/>
        <v>32.678105916346496</v>
      </c>
      <c r="S107" s="35">
        <v>449.20100000000002</v>
      </c>
      <c r="T107" s="35">
        <f t="shared" si="75"/>
        <v>4.7492514861003086</v>
      </c>
      <c r="U107" s="35">
        <v>0.86923382000000005</v>
      </c>
      <c r="V107" s="35">
        <f t="shared" si="76"/>
        <v>9.1901175896840128E-3</v>
      </c>
      <c r="W107" s="35">
        <v>1.04143389</v>
      </c>
      <c r="X107" s="35">
        <f t="shared" si="77"/>
        <v>1.1010731164351204E-2</v>
      </c>
      <c r="Y107" s="36">
        <f t="shared" si="58"/>
        <v>44.923335969998497</v>
      </c>
      <c r="Z107" s="35">
        <f t="shared" si="78"/>
        <v>0.47495936143530137</v>
      </c>
      <c r="AA107" s="37">
        <v>480.61537840000005</v>
      </c>
      <c r="AB107" s="37">
        <f t="shared" si="79"/>
        <v>5.081385170800738</v>
      </c>
      <c r="AC107" s="37">
        <v>47.63692975</v>
      </c>
      <c r="AD107" s="37">
        <f t="shared" si="80"/>
        <v>0.50364927818157912</v>
      </c>
      <c r="AE107" s="37">
        <v>7.5003392099999999</v>
      </c>
      <c r="AF107" s="37">
        <f t="shared" si="81"/>
        <v>7.9298570438064292E-2</v>
      </c>
      <c r="AG107" s="37">
        <v>8.6733584500000003</v>
      </c>
      <c r="AH107" s="37">
        <f t="shared" si="82"/>
        <v>9.1700509366949706E-2</v>
      </c>
      <c r="AI107" s="35">
        <v>167.40083873000003</v>
      </c>
    </row>
    <row r="108" spans="1:35" hidden="1" x14ac:dyDescent="0.25">
      <c r="A108" s="29" t="s">
        <v>58</v>
      </c>
      <c r="B108" s="35">
        <v>9597.6519703199992</v>
      </c>
      <c r="C108" s="35">
        <v>620.24163603</v>
      </c>
      <c r="D108" s="35">
        <f t="shared" si="67"/>
        <v>6.4624309982071608</v>
      </c>
      <c r="E108" s="35">
        <v>2809.05701318</v>
      </c>
      <c r="F108" s="35">
        <f t="shared" si="68"/>
        <v>29.268169150817229</v>
      </c>
      <c r="G108" s="35">
        <v>300.45586029999998</v>
      </c>
      <c r="H108" s="35">
        <f t="shared" si="69"/>
        <v>3.1305142260746344</v>
      </c>
      <c r="I108" s="35">
        <v>466.06024726999999</v>
      </c>
      <c r="J108" s="35">
        <f t="shared" si="70"/>
        <v>4.8559819496607659</v>
      </c>
      <c r="K108" s="35">
        <v>738.03916762999995</v>
      </c>
      <c r="L108" s="35">
        <f t="shared" si="71"/>
        <v>7.6897888141008801</v>
      </c>
      <c r="M108" s="35">
        <v>563.51744515999997</v>
      </c>
      <c r="N108" s="35">
        <f t="shared" si="72"/>
        <v>5.871409454131431</v>
      </c>
      <c r="O108" s="35">
        <v>385.23014396000002</v>
      </c>
      <c r="P108" s="35">
        <f t="shared" si="73"/>
        <v>4.0137957195290532</v>
      </c>
      <c r="Q108" s="35">
        <v>3146.1962457499999</v>
      </c>
      <c r="R108" s="35">
        <f t="shared" si="74"/>
        <v>32.78089532189091</v>
      </c>
      <c r="S108" s="35">
        <v>562.12400000000002</v>
      </c>
      <c r="T108" s="35">
        <f t="shared" si="75"/>
        <v>5.8568908493277867</v>
      </c>
      <c r="U108" s="35">
        <v>0.88842969999999999</v>
      </c>
      <c r="V108" s="35">
        <f t="shared" si="76"/>
        <v>9.2567401146384613E-3</v>
      </c>
      <c r="W108" s="35">
        <v>1.0413629799999999</v>
      </c>
      <c r="X108" s="35">
        <f t="shared" si="77"/>
        <v>1.0850184849589616E-2</v>
      </c>
      <c r="Y108" s="36">
        <f t="shared" si="58"/>
        <v>44.062521600001709</v>
      </c>
      <c r="Z108" s="35">
        <f t="shared" si="78"/>
        <v>0.45909688886679439</v>
      </c>
      <c r="AA108" s="37">
        <v>461.83439346</v>
      </c>
      <c r="AB108" s="37">
        <f t="shared" si="79"/>
        <v>4.8119518699801507</v>
      </c>
      <c r="AC108" s="37">
        <v>48.13454119</v>
      </c>
      <c r="AD108" s="37">
        <f t="shared" si="80"/>
        <v>0.50152413672481944</v>
      </c>
      <c r="AE108" s="37">
        <v>6.0931551099999997</v>
      </c>
      <c r="AF108" s="37">
        <f t="shared" si="81"/>
        <v>6.3485893516899899E-2</v>
      </c>
      <c r="AG108" s="37">
        <v>6.7998069999999995</v>
      </c>
      <c r="AH108" s="37">
        <f t="shared" si="82"/>
        <v>7.0848651535061702E-2</v>
      </c>
      <c r="AI108" s="35">
        <v>186.50762703000001</v>
      </c>
    </row>
    <row r="109" spans="1:35" hidden="1" x14ac:dyDescent="0.25">
      <c r="A109" s="29" t="s">
        <v>59</v>
      </c>
      <c r="B109" s="35">
        <v>9706.1501323600005</v>
      </c>
      <c r="C109" s="35">
        <v>626.47045097</v>
      </c>
      <c r="D109" s="35">
        <f t="shared" si="67"/>
        <v>6.4543659682469485</v>
      </c>
      <c r="E109" s="35">
        <v>2814.4681719499999</v>
      </c>
      <c r="F109" s="35">
        <f t="shared" si="68"/>
        <v>28.996750859711629</v>
      </c>
      <c r="G109" s="35">
        <v>298.35310472999998</v>
      </c>
      <c r="H109" s="35">
        <f t="shared" si="69"/>
        <v>3.0738562732024932</v>
      </c>
      <c r="I109" s="35">
        <v>484.20184695</v>
      </c>
      <c r="J109" s="35">
        <f t="shared" si="70"/>
        <v>4.9886086692156777</v>
      </c>
      <c r="K109" s="35">
        <v>750.12857440000005</v>
      </c>
      <c r="L109" s="35">
        <f t="shared" si="71"/>
        <v>7.728384211769967</v>
      </c>
      <c r="M109" s="35">
        <v>582.90408720999994</v>
      </c>
      <c r="N109" s="35">
        <f t="shared" si="72"/>
        <v>6.0055127858224244</v>
      </c>
      <c r="O109" s="35">
        <v>385.34438302000001</v>
      </c>
      <c r="P109" s="35">
        <f t="shared" si="73"/>
        <v>3.9701053225549634</v>
      </c>
      <c r="Q109" s="35">
        <v>3212.4909234699999</v>
      </c>
      <c r="R109" s="35">
        <f t="shared" si="74"/>
        <v>33.097478193332861</v>
      </c>
      <c r="S109" s="35">
        <v>556.83900000000006</v>
      </c>
      <c r="T109" s="35">
        <f t="shared" si="75"/>
        <v>5.7369708113571853</v>
      </c>
      <c r="U109" s="35">
        <v>0.87853193000000007</v>
      </c>
      <c r="V109" s="35">
        <f t="shared" si="76"/>
        <v>9.0512913773196455E-3</v>
      </c>
      <c r="W109" s="35">
        <v>1.14475507</v>
      </c>
      <c r="X109" s="35">
        <f t="shared" si="77"/>
        <v>1.1794120783104545E-2</v>
      </c>
      <c r="Y109" s="36">
        <f t="shared" si="58"/>
        <v>46.411983180000107</v>
      </c>
      <c r="Z109" s="35">
        <f t="shared" si="78"/>
        <v>0.47817087668223895</v>
      </c>
      <c r="AA109" s="37">
        <v>447.89206051999997</v>
      </c>
      <c r="AB109" s="37">
        <f t="shared" si="79"/>
        <v>4.6145181602615226</v>
      </c>
      <c r="AC109" s="37">
        <v>48.122147700000006</v>
      </c>
      <c r="AD109" s="37">
        <f t="shared" si="80"/>
        <v>0.49579026744663951</v>
      </c>
      <c r="AE109" s="37">
        <v>1.08437329</v>
      </c>
      <c r="AF109" s="37">
        <f t="shared" si="81"/>
        <v>1.1172022637324901E-2</v>
      </c>
      <c r="AG109" s="37">
        <v>6.2547379699999999</v>
      </c>
      <c r="AH109" s="37">
        <f t="shared" si="82"/>
        <v>6.4440976954878326E-2</v>
      </c>
      <c r="AI109" s="35">
        <v>175.44406490000003</v>
      </c>
    </row>
    <row r="110" spans="1:35" hidden="1" x14ac:dyDescent="0.25">
      <c r="A110" s="29" t="s">
        <v>60</v>
      </c>
      <c r="B110" s="35">
        <v>9782.7863418199995</v>
      </c>
      <c r="C110" s="35">
        <v>636.67716685000005</v>
      </c>
      <c r="D110" s="35">
        <f t="shared" si="67"/>
        <v>6.5081372995779025</v>
      </c>
      <c r="E110" s="35">
        <v>2812.1728263099999</v>
      </c>
      <c r="F110" s="35">
        <f t="shared" si="68"/>
        <v>28.746133545699216</v>
      </c>
      <c r="G110" s="35">
        <v>311.73169689999997</v>
      </c>
      <c r="H110" s="35">
        <f t="shared" si="69"/>
        <v>3.1865328139427107</v>
      </c>
      <c r="I110" s="35">
        <v>485.33436597999997</v>
      </c>
      <c r="J110" s="35">
        <f t="shared" si="70"/>
        <v>4.9611056504961741</v>
      </c>
      <c r="K110" s="35">
        <v>783.01359421999996</v>
      </c>
      <c r="L110" s="35">
        <f t="shared" si="71"/>
        <v>8.0039936155278149</v>
      </c>
      <c r="M110" s="35">
        <v>591.42058810000003</v>
      </c>
      <c r="N110" s="35">
        <f t="shared" si="72"/>
        <v>6.0455228953714588</v>
      </c>
      <c r="O110" s="35">
        <v>381.41932241000001</v>
      </c>
      <c r="P110" s="35">
        <f t="shared" si="73"/>
        <v>3.898882272216122</v>
      </c>
      <c r="Q110" s="35">
        <v>3250.9340875500002</v>
      </c>
      <c r="R110" s="35">
        <f t="shared" si="74"/>
        <v>33.231167215139166</v>
      </c>
      <c r="S110" s="35">
        <v>561.62699999999995</v>
      </c>
      <c r="T110" s="35">
        <f t="shared" si="75"/>
        <v>5.7409717474777677</v>
      </c>
      <c r="U110" s="35">
        <v>0.89583318000000001</v>
      </c>
      <c r="V110" s="35">
        <f t="shared" si="76"/>
        <v>9.1572395501519077E-3</v>
      </c>
      <c r="W110" s="35">
        <v>1.20211859</v>
      </c>
      <c r="X110" s="35">
        <f t="shared" si="77"/>
        <v>1.2288100220088798E-2</v>
      </c>
      <c r="Y110" s="36">
        <f t="shared" si="58"/>
        <v>45.381306389998365</v>
      </c>
      <c r="Z110" s="35">
        <f t="shared" si="78"/>
        <v>0.46388937470707942</v>
      </c>
      <c r="AA110" s="37">
        <v>421.68031010000004</v>
      </c>
      <c r="AB110" s="37">
        <f t="shared" si="79"/>
        <v>4.3104315617870297</v>
      </c>
      <c r="AC110" s="37">
        <v>48.097308099999999</v>
      </c>
      <c r="AD110" s="37">
        <f>AC110/$B110*100</f>
        <v>0.49165244358236621</v>
      </c>
      <c r="AE110" s="37">
        <v>5.5164217300000002</v>
      </c>
      <c r="AF110" s="37">
        <f t="shared" si="81"/>
        <v>5.6389064804759088E-2</v>
      </c>
      <c r="AG110" s="37">
        <v>7.3093954100000005</v>
      </c>
      <c r="AH110" s="37">
        <f t="shared" si="82"/>
        <v>7.4716907377945993E-2</v>
      </c>
      <c r="AI110" s="35">
        <v>173.63879934000005</v>
      </c>
    </row>
    <row r="111" spans="1:35" hidden="1" x14ac:dyDescent="0.25">
      <c r="A111" s="29" t="s">
        <v>61</v>
      </c>
      <c r="B111" s="35">
        <v>9850.3003707400003</v>
      </c>
      <c r="C111" s="35">
        <v>633.80456287000004</v>
      </c>
      <c r="D111" s="35">
        <f t="shared" si="67"/>
        <v>6.4343678772750534</v>
      </c>
      <c r="E111" s="35">
        <v>2744.4101818700001</v>
      </c>
      <c r="F111" s="35">
        <f t="shared" si="68"/>
        <v>27.861182690653596</v>
      </c>
      <c r="G111" s="35">
        <v>289.68772906999999</v>
      </c>
      <c r="H111" s="35">
        <f t="shared" si="69"/>
        <v>2.9409024919738291</v>
      </c>
      <c r="I111" s="35">
        <v>466.71578469000002</v>
      </c>
      <c r="J111" s="35">
        <f t="shared" si="70"/>
        <v>4.7380868311017625</v>
      </c>
      <c r="K111" s="35">
        <v>875.34030221</v>
      </c>
      <c r="L111" s="35">
        <f t="shared" si="71"/>
        <v>8.8864325884941557</v>
      </c>
      <c r="M111" s="35">
        <v>582.92162757000006</v>
      </c>
      <c r="N111" s="35">
        <f t="shared" si="72"/>
        <v>5.9178056062285167</v>
      </c>
      <c r="O111" s="35">
        <v>409.66164846999999</v>
      </c>
      <c r="P111" s="35">
        <f t="shared" si="73"/>
        <v>4.1588746845414661</v>
      </c>
      <c r="Q111" s="35">
        <v>3314.9694567000001</v>
      </c>
      <c r="R111" s="35">
        <f t="shared" si="74"/>
        <v>33.653486004822859</v>
      </c>
      <c r="S111" s="35">
        <v>575.79999999999995</v>
      </c>
      <c r="T111" s="35">
        <f t="shared" si="75"/>
        <v>5.845507023424334</v>
      </c>
      <c r="U111" s="35">
        <v>0.97424274999999994</v>
      </c>
      <c r="V111" s="35">
        <f t="shared" si="76"/>
        <v>9.8904877347086445E-3</v>
      </c>
      <c r="W111" s="35">
        <v>0.95838124999999996</v>
      </c>
      <c r="X111" s="35">
        <f t="shared" si="77"/>
        <v>9.7294621882479896E-3</v>
      </c>
      <c r="Y111" s="36">
        <f t="shared" si="58"/>
        <v>46.798042829999929</v>
      </c>
      <c r="Z111" s="35">
        <f t="shared" si="78"/>
        <v>0.47509254610155854</v>
      </c>
      <c r="AA111" s="37">
        <v>419.86985619000006</v>
      </c>
      <c r="AB111" s="37">
        <f t="shared" si="79"/>
        <v>4.2625081508906062</v>
      </c>
      <c r="AC111" s="37">
        <v>49.116020549999995</v>
      </c>
      <c r="AD111" s="37">
        <f>AC111/$B111*100</f>
        <v>0.49862459723459351</v>
      </c>
      <c r="AE111" s="37">
        <v>2.8309023600000001</v>
      </c>
      <c r="AF111" s="37">
        <f t="shared" si="81"/>
        <v>2.8739249093450027E-2</v>
      </c>
      <c r="AG111" s="37">
        <v>12.24163136</v>
      </c>
      <c r="AH111" s="37">
        <f t="shared" si="82"/>
        <v>0.12427673166559845</v>
      </c>
      <c r="AI111" s="35">
        <v>176.36550674999998</v>
      </c>
    </row>
    <row r="112" spans="1:35" x14ac:dyDescent="0.25">
      <c r="A112" s="29" t="s">
        <v>65</v>
      </c>
      <c r="B112" s="35">
        <v>12243.721763699999</v>
      </c>
      <c r="C112" s="35">
        <v>748.82059920999995</v>
      </c>
      <c r="D112" s="35">
        <v>6.1159557009053556</v>
      </c>
      <c r="E112" s="35">
        <v>2649.32739201</v>
      </c>
      <c r="F112" s="35">
        <v>21.638252184598684</v>
      </c>
      <c r="G112" s="35">
        <v>396.74502281000002</v>
      </c>
      <c r="H112" s="35">
        <v>3.2403956122742321</v>
      </c>
      <c r="I112" s="35">
        <v>546.22941422999997</v>
      </c>
      <c r="J112" s="35">
        <v>4.4613020842196249</v>
      </c>
      <c r="K112" s="35">
        <v>1270.2709982199999</v>
      </c>
      <c r="L112" s="35">
        <v>10.374876387554641</v>
      </c>
      <c r="M112" s="35">
        <v>1297.60908647</v>
      </c>
      <c r="N112" s="35">
        <v>10.59815888921236</v>
      </c>
      <c r="O112" s="35">
        <v>429.11634155000002</v>
      </c>
      <c r="P112" s="35">
        <v>3.5047867783326936</v>
      </c>
      <c r="Q112" s="35">
        <v>4316.6580169099998</v>
      </c>
      <c r="R112" s="35">
        <v>35.256093696182823</v>
      </c>
      <c r="S112" s="35">
        <v>703.69352000000003</v>
      </c>
      <c r="T112" s="35">
        <v>5.7473824837011565</v>
      </c>
      <c r="U112" s="35">
        <v>0.61674861000000003</v>
      </c>
      <c r="V112" s="35">
        <v>5.0372641742687015E-3</v>
      </c>
      <c r="W112" s="35">
        <v>0.53953861000000003</v>
      </c>
      <c r="X112" s="35">
        <v>4.4066552671885757E-3</v>
      </c>
      <c r="Y112" s="36">
        <f t="shared" si="58"/>
        <v>17.221721410000228</v>
      </c>
      <c r="Z112" s="35">
        <v>0.14065756918014036</v>
      </c>
      <c r="AA112" s="37">
        <v>480.93407215000002</v>
      </c>
      <c r="AB112" s="37">
        <v>3.9280055642547032</v>
      </c>
      <c r="AC112" s="37">
        <v>44.144264329999999</v>
      </c>
      <c r="AD112" s="37">
        <v>0.36054612463408181</v>
      </c>
      <c r="AE112" s="37">
        <v>43.211517909999998</v>
      </c>
      <c r="AF112" s="37">
        <v>0.35292796376762542</v>
      </c>
      <c r="AG112" s="37">
        <v>2.2770292700000003</v>
      </c>
      <c r="AH112" s="37">
        <v>1.8597525441576942E-2</v>
      </c>
      <c r="AI112" s="35">
        <v>176.08680903999996</v>
      </c>
    </row>
    <row r="113" spans="1:35" hidden="1" x14ac:dyDescent="0.25">
      <c r="A113" s="29" t="s">
        <v>50</v>
      </c>
      <c r="B113" s="21">
        <v>9984.5625328200003</v>
      </c>
      <c r="C113" s="21">
        <v>643.08208386000001</v>
      </c>
      <c r="D113" s="21">
        <f t="shared" ref="D113:D124" si="83">C113/$B113*100</f>
        <v>6.4407637464950653</v>
      </c>
      <c r="E113" s="21">
        <v>2792.0278147499998</v>
      </c>
      <c r="F113" s="21">
        <f t="shared" ref="F113:F124" si="84">E113/$B113*100</f>
        <v>27.963446626453553</v>
      </c>
      <c r="G113" s="21">
        <v>285.60228572</v>
      </c>
      <c r="H113" s="21">
        <f t="shared" ref="H113:H124" si="85">G113/$B113*100</f>
        <v>2.8604386499779437</v>
      </c>
      <c r="I113" s="21">
        <v>470.1170272</v>
      </c>
      <c r="J113" s="21">
        <f t="shared" ref="J113:J124" si="86">I113/$B113*100</f>
        <v>4.7084389091128465</v>
      </c>
      <c r="K113" s="21">
        <v>892.90232120999997</v>
      </c>
      <c r="L113" s="21">
        <f t="shared" ref="L113:L124" si="87">K113/$B113*100</f>
        <v>8.9428286745159191</v>
      </c>
      <c r="M113" s="21">
        <v>581.60358383000005</v>
      </c>
      <c r="N113" s="21">
        <f t="shared" ref="N113:N124" si="88">M113/$B113*100</f>
        <v>5.8250282064760048</v>
      </c>
      <c r="O113" s="21">
        <v>417.15367001999999</v>
      </c>
      <c r="P113" s="21">
        <f t="shared" ref="P113:P124" si="89">O113/$B113*100</f>
        <v>4.1779864530747828</v>
      </c>
      <c r="Q113" s="21">
        <v>3357.4851926000001</v>
      </c>
      <c r="R113" s="21">
        <f t="shared" ref="R113:R124" si="90">Q113/$B113*100</f>
        <v>33.626763131220791</v>
      </c>
      <c r="S113" s="21">
        <v>586.42629999999997</v>
      </c>
      <c r="T113" s="21">
        <f t="shared" ref="T113:T124" si="91">S113/$B113*100</f>
        <v>5.8733299338090479</v>
      </c>
      <c r="U113" s="21">
        <v>0.98563100999999997</v>
      </c>
      <c r="V113" s="21">
        <f t="shared" ref="V113:V124" si="92">U113/$B113*100</f>
        <v>9.8715492717898999E-3</v>
      </c>
      <c r="W113" s="21">
        <v>1.3211098700000001</v>
      </c>
      <c r="X113" s="21">
        <f t="shared" ref="X113:X124" si="93">W113/$B113*100</f>
        <v>1.3231524823019675E-2</v>
      </c>
      <c r="Y113" s="33">
        <f t="shared" ref="Y113:Y124" si="94">B113-C113-E113-G113-I113-K113-M113-W113-O113-Q113-U113-AA113-AC113-AE113-AG113</f>
        <v>51.556775910001221</v>
      </c>
      <c r="Z113" s="21">
        <f t="shared" ref="Z113:Z124" si="95">Y113/$B113*100</f>
        <v>0.51636489571305955</v>
      </c>
      <c r="AA113" s="34">
        <v>432.26369215</v>
      </c>
      <c r="AB113" s="34">
        <f t="shared" ref="AB113:AB124" si="96">AA113/B113*100</f>
        <v>4.329320295497344</v>
      </c>
      <c r="AC113" s="34">
        <v>48.842906480000003</v>
      </c>
      <c r="AD113" s="34">
        <f t="shared" ref="AD113:AD124" si="97">AC113/$B113*100</f>
        <v>0.48918424136710781</v>
      </c>
      <c r="AE113" s="34">
        <v>0.52715458000000004</v>
      </c>
      <c r="AF113" s="34">
        <f t="shared" ref="AF113:AF124" si="98">AE113/$B113*100</f>
        <v>5.2796963138565531E-3</v>
      </c>
      <c r="AG113" s="34">
        <v>9.0912836299999995</v>
      </c>
      <c r="AH113" s="34">
        <f t="shared" ref="AH113:AH124" si="99">AG113/$B113*100</f>
        <v>9.1053399686929423E-2</v>
      </c>
      <c r="AI113" s="21">
        <v>180.27205216999997</v>
      </c>
    </row>
    <row r="114" spans="1:35" hidden="1" x14ac:dyDescent="0.25">
      <c r="A114" s="29" t="s">
        <v>51</v>
      </c>
      <c r="B114" s="21">
        <v>10106.91377657</v>
      </c>
      <c r="C114" s="21">
        <v>648.80625395000004</v>
      </c>
      <c r="D114" s="21">
        <f t="shared" si="83"/>
        <v>6.4194299891433966</v>
      </c>
      <c r="E114" s="21">
        <v>2810.9288768599999</v>
      </c>
      <c r="F114" s="21">
        <f t="shared" si="84"/>
        <v>27.811940806068197</v>
      </c>
      <c r="G114" s="21">
        <v>284.76483035000001</v>
      </c>
      <c r="H114" s="21">
        <f t="shared" si="85"/>
        <v>2.8175250788242217</v>
      </c>
      <c r="I114" s="21">
        <v>474.95028843</v>
      </c>
      <c r="J114" s="21">
        <f t="shared" si="86"/>
        <v>4.6992613069583804</v>
      </c>
      <c r="K114" s="21">
        <v>874.46036978999996</v>
      </c>
      <c r="L114" s="21">
        <f t="shared" si="87"/>
        <v>8.6521008205015786</v>
      </c>
      <c r="M114" s="21">
        <v>583.20181939999998</v>
      </c>
      <c r="N114" s="21">
        <f t="shared" si="88"/>
        <v>5.7703254652472378</v>
      </c>
      <c r="O114" s="21">
        <v>419.37113110000001</v>
      </c>
      <c r="P114" s="21">
        <f t="shared" si="89"/>
        <v>4.1493490532410844</v>
      </c>
      <c r="Q114" s="21">
        <v>3454.8482695600001</v>
      </c>
      <c r="R114" s="21">
        <f t="shared" si="90"/>
        <v>34.183019128639266</v>
      </c>
      <c r="S114" s="21">
        <v>595.00306332800005</v>
      </c>
      <c r="T114" s="21">
        <f t="shared" si="91"/>
        <v>5.887089535752696</v>
      </c>
      <c r="U114" s="21">
        <v>1.0590580200000002</v>
      </c>
      <c r="V114" s="21">
        <f t="shared" si="92"/>
        <v>1.0478550063968336E-2</v>
      </c>
      <c r="W114" s="21">
        <v>1.01689429</v>
      </c>
      <c r="X114" s="21">
        <f t="shared" si="93"/>
        <v>1.0061372961916226E-2</v>
      </c>
      <c r="Y114" s="33">
        <f t="shared" si="94"/>
        <v>48.792021899998545</v>
      </c>
      <c r="Z114" s="21">
        <f t="shared" si="95"/>
        <v>0.48275886169236892</v>
      </c>
      <c r="AA114" s="34">
        <v>447.24085879000006</v>
      </c>
      <c r="AB114" s="34">
        <f t="shared" si="96"/>
        <v>4.4250981919604433</v>
      </c>
      <c r="AC114" s="34">
        <v>48.830342800000004</v>
      </c>
      <c r="AD114" s="34">
        <f t="shared" si="97"/>
        <v>0.48313801699980108</v>
      </c>
      <c r="AE114" s="34">
        <v>0.22700659000000001</v>
      </c>
      <c r="AF114" s="34">
        <f t="shared" si="98"/>
        <v>2.2460525044376073E-3</v>
      </c>
      <c r="AG114" s="34">
        <v>8.4157547400000006</v>
      </c>
      <c r="AH114" s="34">
        <f t="shared" si="99"/>
        <v>8.3267305193693561E-2</v>
      </c>
      <c r="AI114" s="21">
        <v>180.86095100000003</v>
      </c>
    </row>
    <row r="115" spans="1:35" hidden="1" x14ac:dyDescent="0.25">
      <c r="A115" s="29" t="s">
        <v>52</v>
      </c>
      <c r="B115" s="21">
        <v>10163.207416880001</v>
      </c>
      <c r="C115" s="21">
        <v>663.85993112999995</v>
      </c>
      <c r="D115" s="21">
        <f t="shared" si="83"/>
        <v>6.5319923514244094</v>
      </c>
      <c r="E115" s="21">
        <v>2795.2399057100001</v>
      </c>
      <c r="F115" s="21">
        <f t="shared" si="84"/>
        <v>27.503521192211483</v>
      </c>
      <c r="G115" s="21">
        <v>267.73334008</v>
      </c>
      <c r="H115" s="21">
        <f t="shared" si="85"/>
        <v>2.6343390339089563</v>
      </c>
      <c r="I115" s="21">
        <v>479.92791896</v>
      </c>
      <c r="J115" s="21">
        <f t="shared" si="86"/>
        <v>4.7222092325193623</v>
      </c>
      <c r="K115" s="21">
        <v>858.73333035999997</v>
      </c>
      <c r="L115" s="21">
        <f t="shared" si="87"/>
        <v>8.4494323015954169</v>
      </c>
      <c r="M115" s="21">
        <v>585.43288680000001</v>
      </c>
      <c r="N115" s="21">
        <f t="shared" si="88"/>
        <v>5.7603162346923922</v>
      </c>
      <c r="O115" s="21">
        <v>426.04153137999998</v>
      </c>
      <c r="P115" s="21">
        <f t="shared" si="89"/>
        <v>4.1919987844820579</v>
      </c>
      <c r="Q115" s="21">
        <v>3523.7234840400001</v>
      </c>
      <c r="R115" s="21">
        <f t="shared" si="90"/>
        <v>34.671372328655544</v>
      </c>
      <c r="S115" s="21">
        <v>620.02200000000005</v>
      </c>
      <c r="T115" s="21">
        <f t="shared" si="91"/>
        <v>6.1006528211773947</v>
      </c>
      <c r="U115" s="21">
        <v>0.84524688000000003</v>
      </c>
      <c r="V115" s="21">
        <f t="shared" si="92"/>
        <v>8.3167335402024294E-3</v>
      </c>
      <c r="W115" s="21">
        <v>0.95545718000000002</v>
      </c>
      <c r="X115" s="21">
        <f t="shared" si="93"/>
        <v>9.4011382510317352E-3</v>
      </c>
      <c r="Y115" s="33">
        <f t="shared" si="94"/>
        <v>48.574769040000227</v>
      </c>
      <c r="Z115" s="21">
        <f t="shared" si="95"/>
        <v>0.47794723700436076</v>
      </c>
      <c r="AA115" s="34">
        <v>461.26904721000005</v>
      </c>
      <c r="AB115" s="34">
        <f t="shared" si="96"/>
        <v>4.5386168784067271</v>
      </c>
      <c r="AC115" s="34">
        <v>47.033748729999999</v>
      </c>
      <c r="AD115" s="34">
        <f t="shared" si="97"/>
        <v>0.46278450100193735</v>
      </c>
      <c r="AE115" s="34">
        <v>0.22700659000000001</v>
      </c>
      <c r="AF115" s="34">
        <f t="shared" si="98"/>
        <v>2.233611700406373E-3</v>
      </c>
      <c r="AG115" s="34">
        <v>3.6098127900000003</v>
      </c>
      <c r="AH115" s="34">
        <f t="shared" si="99"/>
        <v>3.5518440605713582E-2</v>
      </c>
      <c r="AI115" s="21">
        <v>188.36713871000001</v>
      </c>
    </row>
    <row r="116" spans="1:35" hidden="1" x14ac:dyDescent="0.25">
      <c r="A116" s="29" t="s">
        <v>53</v>
      </c>
      <c r="B116" s="21">
        <v>10363.27236859</v>
      </c>
      <c r="C116" s="21">
        <v>719.35310575999995</v>
      </c>
      <c r="D116" s="21">
        <f t="shared" si="83"/>
        <v>6.9413702561778106</v>
      </c>
      <c r="E116" s="21">
        <v>2764.5931553199998</v>
      </c>
      <c r="F116" s="21">
        <f t="shared" si="84"/>
        <v>26.67683581972808</v>
      </c>
      <c r="G116" s="21">
        <v>249.79974098</v>
      </c>
      <c r="H116" s="21">
        <f t="shared" si="85"/>
        <v>2.4104330378994669</v>
      </c>
      <c r="I116" s="21">
        <v>482.25641538999997</v>
      </c>
      <c r="J116" s="21">
        <f t="shared" si="86"/>
        <v>4.6535148188488122</v>
      </c>
      <c r="K116" s="21">
        <v>897.57304067999996</v>
      </c>
      <c r="L116" s="21">
        <f t="shared" si="87"/>
        <v>8.6610966956774238</v>
      </c>
      <c r="M116" s="21">
        <v>611.57766715000002</v>
      </c>
      <c r="N116" s="21">
        <f t="shared" si="88"/>
        <v>5.9013952871066895</v>
      </c>
      <c r="O116" s="21">
        <v>426.07412925</v>
      </c>
      <c r="P116" s="21">
        <f t="shared" si="89"/>
        <v>4.1113859994781796</v>
      </c>
      <c r="Q116" s="21">
        <v>3623.40930312</v>
      </c>
      <c r="R116" s="21">
        <f t="shared" si="90"/>
        <v>34.963949361228572</v>
      </c>
      <c r="S116" s="21">
        <v>633.178</v>
      </c>
      <c r="T116" s="21">
        <f t="shared" si="91"/>
        <v>6.1098268720515021</v>
      </c>
      <c r="U116" s="21">
        <v>0.83393165999999996</v>
      </c>
      <c r="V116" s="21">
        <f t="shared" si="92"/>
        <v>8.0469916290877401E-3</v>
      </c>
      <c r="W116" s="21">
        <v>0.90265901000000004</v>
      </c>
      <c r="X116" s="21">
        <f t="shared" si="93"/>
        <v>8.7101735619326721E-3</v>
      </c>
      <c r="Y116" s="33">
        <f t="shared" si="94"/>
        <v>44.350869190000616</v>
      </c>
      <c r="Z116" s="21">
        <f t="shared" si="95"/>
        <v>0.42796201443497212</v>
      </c>
      <c r="AA116" s="34">
        <v>495.03082351999996</v>
      </c>
      <c r="AB116" s="34">
        <f t="shared" si="96"/>
        <v>4.776780981076854</v>
      </c>
      <c r="AC116" s="34">
        <v>44.666871679999993</v>
      </c>
      <c r="AD116" s="34">
        <f t="shared" si="97"/>
        <v>0.43101126836519932</v>
      </c>
      <c r="AE116" s="34">
        <v>0.22700659000000001</v>
      </c>
      <c r="AF116" s="34">
        <f t="shared" si="98"/>
        <v>2.1904914000719826E-3</v>
      </c>
      <c r="AG116" s="34">
        <v>2.6236492900000004</v>
      </c>
      <c r="AH116" s="34">
        <f t="shared" si="99"/>
        <v>2.5316803386853062E-2</v>
      </c>
      <c r="AI116" s="21">
        <v>182.39958403999998</v>
      </c>
    </row>
    <row r="117" spans="1:35" hidden="1" x14ac:dyDescent="0.25">
      <c r="A117" s="29" t="s">
        <v>54</v>
      </c>
      <c r="B117" s="21">
        <v>10511.52051213</v>
      </c>
      <c r="C117" s="21">
        <v>720.07649569</v>
      </c>
      <c r="D117" s="21">
        <f t="shared" si="83"/>
        <v>6.8503552350875587</v>
      </c>
      <c r="E117" s="21">
        <v>2729.3382412599999</v>
      </c>
      <c r="F117" s="21">
        <f t="shared" si="84"/>
        <v>25.965208726086964</v>
      </c>
      <c r="G117" s="21">
        <v>261.64576196000002</v>
      </c>
      <c r="H117" s="21">
        <f t="shared" si="85"/>
        <v>2.4891333433452196</v>
      </c>
      <c r="I117" s="21">
        <v>496.59502076000001</v>
      </c>
      <c r="J117" s="21">
        <f t="shared" si="86"/>
        <v>4.7242929335194015</v>
      </c>
      <c r="K117" s="21">
        <v>952.49895459000004</v>
      </c>
      <c r="L117" s="21">
        <f t="shared" si="87"/>
        <v>9.0614764390255722</v>
      </c>
      <c r="M117" s="21">
        <v>613.64659644000005</v>
      </c>
      <c r="N117" s="21">
        <f t="shared" si="88"/>
        <v>5.837848061390063</v>
      </c>
      <c r="O117" s="21">
        <v>424.86921467000002</v>
      </c>
      <c r="P117" s="21">
        <f t="shared" si="89"/>
        <v>4.0419386917402944</v>
      </c>
      <c r="Q117" s="21">
        <v>3733.8030205199998</v>
      </c>
      <c r="R117" s="21">
        <f t="shared" si="90"/>
        <v>35.521055362174252</v>
      </c>
      <c r="S117" s="21">
        <v>628.20000000000005</v>
      </c>
      <c r="T117" s="21">
        <f t="shared" si="91"/>
        <v>5.9762999965140606</v>
      </c>
      <c r="U117" s="21">
        <v>0.82905417999999997</v>
      </c>
      <c r="V117" s="21">
        <f t="shared" si="92"/>
        <v>7.8871004346449652E-3</v>
      </c>
      <c r="W117" s="21">
        <v>0.82483110999999998</v>
      </c>
      <c r="X117" s="21">
        <f t="shared" si="93"/>
        <v>7.8469248007285719E-3</v>
      </c>
      <c r="Y117" s="33">
        <f t="shared" si="94"/>
        <v>44.238021080000308</v>
      </c>
      <c r="Z117" s="21">
        <f t="shared" si="95"/>
        <v>0.42085273038235405</v>
      </c>
      <c r="AA117" s="34">
        <v>482.42762698000001</v>
      </c>
      <c r="AB117" s="34">
        <f t="shared" si="96"/>
        <v>4.5895132528475973</v>
      </c>
      <c r="AC117" s="34">
        <v>44.897023869999998</v>
      </c>
      <c r="AD117" s="34">
        <f t="shared" si="97"/>
        <v>0.42712206876436276</v>
      </c>
      <c r="AE117" s="34">
        <v>3.3552152299999998</v>
      </c>
      <c r="AF117" s="34">
        <f t="shared" si="98"/>
        <v>3.1919409053411209E-2</v>
      </c>
      <c r="AG117" s="34">
        <v>2.4754337899999999</v>
      </c>
      <c r="AH117" s="34">
        <f t="shared" si="99"/>
        <v>2.3549721347576866E-2</v>
      </c>
      <c r="AI117" s="21">
        <v>186.23733269000002</v>
      </c>
    </row>
    <row r="118" spans="1:35" hidden="1" x14ac:dyDescent="0.25">
      <c r="A118" s="29" t="s">
        <v>55</v>
      </c>
      <c r="B118" s="21">
        <v>10734.81067669</v>
      </c>
      <c r="C118" s="21">
        <v>706.68413955999995</v>
      </c>
      <c r="D118" s="21">
        <f t="shared" si="83"/>
        <v>6.5831076191639069</v>
      </c>
      <c r="E118" s="21">
        <v>2791.2781174400002</v>
      </c>
      <c r="F118" s="21">
        <f t="shared" si="84"/>
        <v>26.002117797019874</v>
      </c>
      <c r="G118" s="21">
        <v>273.6942732</v>
      </c>
      <c r="H118" s="21">
        <f t="shared" si="85"/>
        <v>2.5495957166185588</v>
      </c>
      <c r="I118" s="21">
        <v>504.41599314000001</v>
      </c>
      <c r="J118" s="21">
        <f t="shared" si="86"/>
        <v>4.6988811291782655</v>
      </c>
      <c r="K118" s="21">
        <v>1008.17046641</v>
      </c>
      <c r="L118" s="21">
        <f t="shared" si="87"/>
        <v>9.391599877948309</v>
      </c>
      <c r="M118" s="21">
        <v>644.32238416999996</v>
      </c>
      <c r="N118" s="21">
        <f t="shared" si="88"/>
        <v>6.0021774354074777</v>
      </c>
      <c r="O118" s="21">
        <v>413.16445808999998</v>
      </c>
      <c r="P118" s="21">
        <f t="shared" si="89"/>
        <v>3.8488285497867412</v>
      </c>
      <c r="Q118" s="21">
        <v>3802.7735664699999</v>
      </c>
      <c r="R118" s="21">
        <f t="shared" si="90"/>
        <v>35.424691510652309</v>
      </c>
      <c r="S118" s="21">
        <v>649.29999999999995</v>
      </c>
      <c r="T118" s="21">
        <f t="shared" si="91"/>
        <v>6.0485463559214514</v>
      </c>
      <c r="U118" s="21">
        <v>0.73721144999999999</v>
      </c>
      <c r="V118" s="21">
        <f t="shared" si="92"/>
        <v>6.8674844131234722E-3</v>
      </c>
      <c r="W118" s="21">
        <v>0.81352645999999995</v>
      </c>
      <c r="X118" s="21">
        <f t="shared" si="93"/>
        <v>7.5783959727070364E-3</v>
      </c>
      <c r="Y118" s="33">
        <f t="shared" si="94"/>
        <v>48.594245109999761</v>
      </c>
      <c r="Z118" s="21">
        <f t="shared" si="95"/>
        <v>0.45267910700576452</v>
      </c>
      <c r="AA118" s="34">
        <v>491.78397663999999</v>
      </c>
      <c r="AB118" s="34">
        <f t="shared" si="96"/>
        <v>4.5812077311049322</v>
      </c>
      <c r="AC118" s="34">
        <v>44.93682467</v>
      </c>
      <c r="AD118" s="34">
        <f t="shared" si="97"/>
        <v>0.41860845079995335</v>
      </c>
      <c r="AE118" s="34">
        <v>0.84076993</v>
      </c>
      <c r="AF118" s="34">
        <f t="shared" si="98"/>
        <v>7.8321821904664031E-3</v>
      </c>
      <c r="AG118" s="34">
        <v>2.6007239499999999</v>
      </c>
      <c r="AH118" s="34">
        <f t="shared" si="99"/>
        <v>2.4227012737609958E-2</v>
      </c>
      <c r="AI118" s="21">
        <v>170.64799898000001</v>
      </c>
    </row>
    <row r="119" spans="1:35" hidden="1" x14ac:dyDescent="0.25">
      <c r="A119" s="29" t="s">
        <v>56</v>
      </c>
      <c r="B119" s="21">
        <v>10726.412785959999</v>
      </c>
      <c r="C119" s="21">
        <v>715.12585076000005</v>
      </c>
      <c r="D119" s="21">
        <f t="shared" si="83"/>
        <v>6.6669618728084146</v>
      </c>
      <c r="E119" s="21">
        <v>2716.2331943700001</v>
      </c>
      <c r="F119" s="21">
        <f t="shared" si="84"/>
        <v>25.322847894920919</v>
      </c>
      <c r="G119" s="21">
        <v>282.89586773000002</v>
      </c>
      <c r="H119" s="21">
        <f t="shared" si="85"/>
        <v>2.637376291357048</v>
      </c>
      <c r="I119" s="21">
        <v>505.64988504000002</v>
      </c>
      <c r="J119" s="21">
        <f t="shared" si="86"/>
        <v>4.7140632672821852</v>
      </c>
      <c r="K119" s="21">
        <v>1029.6045947600001</v>
      </c>
      <c r="L119" s="21">
        <f t="shared" si="87"/>
        <v>9.5987784108744041</v>
      </c>
      <c r="M119" s="21">
        <v>660.17973448999999</v>
      </c>
      <c r="N119" s="21">
        <f t="shared" si="88"/>
        <v>6.1547112502897665</v>
      </c>
      <c r="O119" s="21">
        <v>396.94621217999997</v>
      </c>
      <c r="P119" s="21">
        <f t="shared" si="89"/>
        <v>3.7006427041440193</v>
      </c>
      <c r="Q119" s="21">
        <v>3833.8198001199999</v>
      </c>
      <c r="R119" s="21">
        <f t="shared" si="90"/>
        <v>35.741863348184374</v>
      </c>
      <c r="S119" s="21">
        <v>655.17352545599999</v>
      </c>
      <c r="T119" s="21">
        <f t="shared" si="91"/>
        <v>6.1080394585743409</v>
      </c>
      <c r="U119" s="21">
        <v>0.72241993000000004</v>
      </c>
      <c r="V119" s="21">
        <f t="shared" si="92"/>
        <v>6.73496297798262E-3</v>
      </c>
      <c r="W119" s="21">
        <v>0.76078383000000005</v>
      </c>
      <c r="X119" s="21">
        <f t="shared" si="93"/>
        <v>7.092621225576962E-3</v>
      </c>
      <c r="Y119" s="33">
        <f t="shared" si="94"/>
        <v>45.163522069999864</v>
      </c>
      <c r="Z119" s="21">
        <f t="shared" si="95"/>
        <v>0.42104963673517432</v>
      </c>
      <c r="AA119" s="34">
        <v>488.04474753</v>
      </c>
      <c r="AB119" s="34">
        <f t="shared" si="96"/>
        <v>4.5499344214014474</v>
      </c>
      <c r="AC119" s="34">
        <v>44.627974850000001</v>
      </c>
      <c r="AD119" s="34">
        <f t="shared" si="97"/>
        <v>0.41605684715410529</v>
      </c>
      <c r="AE119" s="34">
        <v>3.9329004300000001</v>
      </c>
      <c r="AF119" s="34">
        <f t="shared" si="98"/>
        <v>3.6665570386661288E-2</v>
      </c>
      <c r="AG119" s="34">
        <v>2.7052978699999999</v>
      </c>
      <c r="AH119" s="34">
        <f t="shared" si="99"/>
        <v>2.5220900257922334E-2</v>
      </c>
      <c r="AI119" s="21">
        <v>181.28019143999998</v>
      </c>
    </row>
    <row r="120" spans="1:35" hidden="1" x14ac:dyDescent="0.25">
      <c r="A120" s="29" t="s">
        <v>57</v>
      </c>
      <c r="B120" s="21">
        <v>11057.8023435</v>
      </c>
      <c r="C120" s="21">
        <v>731.74003091999998</v>
      </c>
      <c r="D120" s="21">
        <f t="shared" si="83"/>
        <v>6.6174092119681589</v>
      </c>
      <c r="E120" s="21">
        <v>2773.6165999</v>
      </c>
      <c r="F120" s="21">
        <f t="shared" si="84"/>
        <v>25.082891823712046</v>
      </c>
      <c r="G120" s="21">
        <v>400.24505398999997</v>
      </c>
      <c r="H120" s="21">
        <f t="shared" si="85"/>
        <v>3.6195714261909568</v>
      </c>
      <c r="I120" s="21">
        <v>516.35346861999994</v>
      </c>
      <c r="J120" s="21">
        <f t="shared" si="86"/>
        <v>4.6695849010497374</v>
      </c>
      <c r="K120" s="21">
        <v>1063.73927099</v>
      </c>
      <c r="L120" s="21">
        <f t="shared" si="87"/>
        <v>9.6198072451103958</v>
      </c>
      <c r="M120" s="21">
        <v>644.09154883999997</v>
      </c>
      <c r="N120" s="21">
        <f t="shared" si="88"/>
        <v>5.8247699572836913</v>
      </c>
      <c r="O120" s="21">
        <v>420.11956894999997</v>
      </c>
      <c r="P120" s="21">
        <f t="shared" si="89"/>
        <v>3.7993043816428389</v>
      </c>
      <c r="Q120" s="21">
        <v>3942.2299599799999</v>
      </c>
      <c r="R120" s="21">
        <f t="shared" si="90"/>
        <v>35.651116175876687</v>
      </c>
      <c r="S120" s="21">
        <v>704.89748510799996</v>
      </c>
      <c r="T120" s="21">
        <f t="shared" si="91"/>
        <v>6.3746616480475708</v>
      </c>
      <c r="U120" s="21">
        <v>0.71865555000000003</v>
      </c>
      <c r="V120" s="21">
        <f t="shared" si="92"/>
        <v>6.4990811707033302E-3</v>
      </c>
      <c r="W120" s="21">
        <v>0.70111897000000001</v>
      </c>
      <c r="X120" s="21">
        <f t="shared" si="93"/>
        <v>6.3404910688436384E-3</v>
      </c>
      <c r="Y120" s="33">
        <f t="shared" si="94"/>
        <v>42.905359189999963</v>
      </c>
      <c r="Z120" s="21">
        <f t="shared" si="95"/>
        <v>0.38800982199885864</v>
      </c>
      <c r="AA120" s="34">
        <v>471.15183034</v>
      </c>
      <c r="AB120" s="34">
        <f t="shared" si="96"/>
        <v>4.2608089356648033</v>
      </c>
      <c r="AC120" s="34">
        <v>44.563893579999998</v>
      </c>
      <c r="AD120" s="34">
        <f t="shared" si="97"/>
        <v>0.40300859244599863</v>
      </c>
      <c r="AE120" s="34">
        <v>4.32365143</v>
      </c>
      <c r="AF120" s="34">
        <f t="shared" si="98"/>
        <v>3.910045862360282E-2</v>
      </c>
      <c r="AG120" s="34">
        <v>1.3023322500000001</v>
      </c>
      <c r="AH120" s="34">
        <f t="shared" si="99"/>
        <v>1.1777496192681879E-2</v>
      </c>
      <c r="AI120" s="21">
        <v>178.23717610999998</v>
      </c>
    </row>
    <row r="121" spans="1:35" hidden="1" x14ac:dyDescent="0.25">
      <c r="A121" s="29" t="s">
        <v>58</v>
      </c>
      <c r="B121" s="21">
        <v>11380.82251559</v>
      </c>
      <c r="C121" s="21">
        <v>757.85437293999996</v>
      </c>
      <c r="D121" s="21">
        <f t="shared" si="83"/>
        <v>6.6590474625349314</v>
      </c>
      <c r="E121" s="21">
        <v>2746.1188033200001</v>
      </c>
      <c r="F121" s="21">
        <f t="shared" si="84"/>
        <v>24.129352685697665</v>
      </c>
      <c r="G121" s="21">
        <v>403.59834097999999</v>
      </c>
      <c r="H121" s="21">
        <f t="shared" si="85"/>
        <v>3.5463020394802882</v>
      </c>
      <c r="I121" s="21">
        <v>528.78819350000003</v>
      </c>
      <c r="J121" s="21">
        <f t="shared" si="86"/>
        <v>4.646309111451659</v>
      </c>
      <c r="K121" s="21">
        <v>1103.4198999</v>
      </c>
      <c r="L121" s="21">
        <f t="shared" si="87"/>
        <v>9.6954319284786514</v>
      </c>
      <c r="M121" s="21">
        <v>774.93862358000001</v>
      </c>
      <c r="N121" s="21">
        <f t="shared" si="88"/>
        <v>6.809161837981847</v>
      </c>
      <c r="O121" s="21">
        <v>439.10211154000001</v>
      </c>
      <c r="P121" s="21">
        <f t="shared" si="89"/>
        <v>3.8582634158339326</v>
      </c>
      <c r="Q121" s="21">
        <v>4042.51527687</v>
      </c>
      <c r="R121" s="21">
        <f t="shared" si="90"/>
        <v>35.520414023963269</v>
      </c>
      <c r="S121" s="21">
        <v>623.29999999999995</v>
      </c>
      <c r="T121" s="21">
        <f t="shared" si="91"/>
        <v>5.4767570546520119</v>
      </c>
      <c r="U121" s="21">
        <v>0.66055393000000007</v>
      </c>
      <c r="V121" s="21">
        <f t="shared" si="92"/>
        <v>5.8040965764569429E-3</v>
      </c>
      <c r="W121" s="21">
        <v>0.64398663</v>
      </c>
      <c r="X121" s="21">
        <f t="shared" si="93"/>
        <v>5.6585244969582478E-3</v>
      </c>
      <c r="Y121" s="33">
        <f t="shared" si="94"/>
        <v>42.315234400000016</v>
      </c>
      <c r="Z121" s="21">
        <f t="shared" si="95"/>
        <v>0.3718117415681913</v>
      </c>
      <c r="AA121" s="34">
        <v>491.45459178999999</v>
      </c>
      <c r="AB121" s="34">
        <f t="shared" si="96"/>
        <v>4.3182695373447899</v>
      </c>
      <c r="AC121" s="34">
        <v>44.674372490000003</v>
      </c>
      <c r="AD121" s="34">
        <f t="shared" si="97"/>
        <v>0.39254080650851814</v>
      </c>
      <c r="AE121" s="34">
        <v>3.0678991500000001</v>
      </c>
      <c r="AF121" s="34">
        <f t="shared" si="98"/>
        <v>2.6956743643066605E-2</v>
      </c>
      <c r="AG121" s="34">
        <v>1.67025457</v>
      </c>
      <c r="AH121" s="34">
        <f t="shared" si="99"/>
        <v>1.4676044439775814E-2</v>
      </c>
      <c r="AI121" s="21">
        <v>188.01630741000002</v>
      </c>
    </row>
    <row r="122" spans="1:35" hidden="1" x14ac:dyDescent="0.25">
      <c r="A122" s="29" t="s">
        <v>59</v>
      </c>
      <c r="B122" s="21">
        <v>11643.48871752</v>
      </c>
      <c r="C122" s="21">
        <v>763.70977516999994</v>
      </c>
      <c r="D122" s="21">
        <f t="shared" si="83"/>
        <v>6.5591146579705368</v>
      </c>
      <c r="E122" s="21">
        <v>2815.5381158999999</v>
      </c>
      <c r="F122" s="21">
        <f t="shared" si="84"/>
        <v>24.181224237916332</v>
      </c>
      <c r="G122" s="21">
        <v>404.96495693000003</v>
      </c>
      <c r="H122" s="21">
        <f t="shared" si="85"/>
        <v>3.4780379554166423</v>
      </c>
      <c r="I122" s="21">
        <v>539.60252249999996</v>
      </c>
      <c r="J122" s="21">
        <f t="shared" si="86"/>
        <v>4.6343714980206761</v>
      </c>
      <c r="K122" s="21">
        <v>1122.2502054700001</v>
      </c>
      <c r="L122" s="21">
        <f t="shared" si="87"/>
        <v>9.6384359765071626</v>
      </c>
      <c r="M122" s="21">
        <v>815.52829933999999</v>
      </c>
      <c r="N122" s="21">
        <f t="shared" si="88"/>
        <v>7.0041575950760491</v>
      </c>
      <c r="O122" s="21">
        <v>461.95248722000002</v>
      </c>
      <c r="P122" s="21">
        <f t="shared" si="89"/>
        <v>3.9674748559243964</v>
      </c>
      <c r="Q122" s="21">
        <v>4136.6613513000002</v>
      </c>
      <c r="R122" s="21">
        <f t="shared" si="90"/>
        <v>35.527679475272308</v>
      </c>
      <c r="S122" s="21">
        <v>699.74372703999995</v>
      </c>
      <c r="T122" s="21">
        <f t="shared" si="91"/>
        <v>6.009742818637279</v>
      </c>
      <c r="U122" s="21">
        <v>0.59977864000000003</v>
      </c>
      <c r="V122" s="21">
        <f t="shared" si="92"/>
        <v>5.1511935516157705E-3</v>
      </c>
      <c r="W122" s="21">
        <v>0.63001511999999993</v>
      </c>
      <c r="X122" s="21">
        <f t="shared" si="93"/>
        <v>5.4108792930078926E-3</v>
      </c>
      <c r="Y122" s="33">
        <f t="shared" si="94"/>
        <v>45.155568689999825</v>
      </c>
      <c r="Z122" s="21">
        <f t="shared" si="95"/>
        <v>0.38781820282141105</v>
      </c>
      <c r="AA122" s="34">
        <v>486.66240521999998</v>
      </c>
      <c r="AB122" s="34">
        <f t="shared" si="96"/>
        <v>4.1796957683972957</v>
      </c>
      <c r="AC122" s="34">
        <v>43.864977279999991</v>
      </c>
      <c r="AD122" s="34">
        <f t="shared" si="97"/>
        <v>0.37673396989680763</v>
      </c>
      <c r="AE122" s="34">
        <v>4.9643910899999995</v>
      </c>
      <c r="AF122" s="34">
        <f t="shared" si="98"/>
        <v>4.2636629024512748E-2</v>
      </c>
      <c r="AG122" s="34">
        <v>1.4038676500000002</v>
      </c>
      <c r="AH122" s="34">
        <f t="shared" si="99"/>
        <v>1.2057104911241899E-2</v>
      </c>
      <c r="AI122" s="21">
        <v>180.04947742000004</v>
      </c>
    </row>
    <row r="123" spans="1:35" hidden="1" x14ac:dyDescent="0.25">
      <c r="A123" s="29" t="s">
        <v>60</v>
      </c>
      <c r="B123" s="21">
        <v>11730.50687651</v>
      </c>
      <c r="C123" s="21">
        <v>761.11775205000004</v>
      </c>
      <c r="D123" s="21">
        <f t="shared" si="83"/>
        <v>6.4883620125070323</v>
      </c>
      <c r="E123" s="21">
        <v>2766.6378884999999</v>
      </c>
      <c r="F123" s="21">
        <f t="shared" si="84"/>
        <v>23.584981600753434</v>
      </c>
      <c r="G123" s="21">
        <v>406.19939654000001</v>
      </c>
      <c r="H123" s="21">
        <f t="shared" si="85"/>
        <v>3.4627608236895755</v>
      </c>
      <c r="I123" s="21">
        <v>541.92425406999996</v>
      </c>
      <c r="J123" s="21">
        <f t="shared" si="86"/>
        <v>4.6197854856143303</v>
      </c>
      <c r="K123" s="21">
        <v>1147.6666497900001</v>
      </c>
      <c r="L123" s="21">
        <f t="shared" si="87"/>
        <v>9.7836066409727724</v>
      </c>
      <c r="M123" s="21">
        <v>872.22612164999998</v>
      </c>
      <c r="N123" s="21">
        <f t="shared" si="88"/>
        <v>7.4355365103327919</v>
      </c>
      <c r="O123" s="21">
        <v>391.11202277000001</v>
      </c>
      <c r="P123" s="21">
        <f t="shared" si="89"/>
        <v>3.3341442691891729</v>
      </c>
      <c r="Q123" s="21">
        <v>4245.0927988100002</v>
      </c>
      <c r="R123" s="21">
        <f t="shared" si="90"/>
        <v>36.188485659649331</v>
      </c>
      <c r="S123" s="21">
        <v>706.83230646000004</v>
      </c>
      <c r="T123" s="21">
        <f t="shared" si="91"/>
        <v>6.0255904872739237</v>
      </c>
      <c r="U123" s="21">
        <v>0.54633701999999995</v>
      </c>
      <c r="V123" s="21">
        <f t="shared" si="92"/>
        <v>4.6574033479663528E-3</v>
      </c>
      <c r="W123" s="21">
        <v>0.57590806999999999</v>
      </c>
      <c r="X123" s="21">
        <f t="shared" si="93"/>
        <v>4.9094900677586163E-3</v>
      </c>
      <c r="Y123" s="33">
        <f t="shared" si="94"/>
        <v>49.831146329999939</v>
      </c>
      <c r="Z123" s="21">
        <f t="shared" si="95"/>
        <v>0.42479960034621661</v>
      </c>
      <c r="AA123" s="34">
        <v>481.49746983</v>
      </c>
      <c r="AB123" s="34">
        <f t="shared" si="96"/>
        <v>4.1046603944641529</v>
      </c>
      <c r="AC123" s="34">
        <v>44.971368609999999</v>
      </c>
      <c r="AD123" s="34">
        <f t="shared" si="97"/>
        <v>0.383371060461623</v>
      </c>
      <c r="AE123" s="34">
        <v>19.431052789999999</v>
      </c>
      <c r="AF123" s="34">
        <f t="shared" si="98"/>
        <v>0.16564546608731903</v>
      </c>
      <c r="AG123" s="34">
        <v>1.6767096799999999</v>
      </c>
      <c r="AH123" s="34">
        <f t="shared" si="99"/>
        <v>1.4293582516519915E-2</v>
      </c>
      <c r="AI123" s="21">
        <v>174.07808797000001</v>
      </c>
    </row>
    <row r="124" spans="1:35" hidden="1" x14ac:dyDescent="0.25">
      <c r="A124" s="29" t="s">
        <v>61</v>
      </c>
      <c r="B124" s="21">
        <v>12243.721763699999</v>
      </c>
      <c r="C124" s="21">
        <v>748.82059920999995</v>
      </c>
      <c r="D124" s="21">
        <f t="shared" si="83"/>
        <v>6.1159557009053556</v>
      </c>
      <c r="E124" s="21">
        <v>2649.32739201</v>
      </c>
      <c r="F124" s="21">
        <f t="shared" si="84"/>
        <v>21.638252184598684</v>
      </c>
      <c r="G124" s="21">
        <v>396.74502281000002</v>
      </c>
      <c r="H124" s="21">
        <f t="shared" si="85"/>
        <v>3.2403956122742321</v>
      </c>
      <c r="I124" s="21">
        <v>546.22941422999997</v>
      </c>
      <c r="J124" s="21">
        <f t="shared" si="86"/>
        <v>4.4613020842196249</v>
      </c>
      <c r="K124" s="21">
        <v>1270.2709982199999</v>
      </c>
      <c r="L124" s="21">
        <f t="shared" si="87"/>
        <v>10.374876387554641</v>
      </c>
      <c r="M124" s="21">
        <v>1297.60908647</v>
      </c>
      <c r="N124" s="21">
        <f t="shared" si="88"/>
        <v>10.59815888921236</v>
      </c>
      <c r="O124" s="21">
        <v>429.11634155000002</v>
      </c>
      <c r="P124" s="21">
        <f t="shared" si="89"/>
        <v>3.5047867783326936</v>
      </c>
      <c r="Q124" s="21">
        <v>4316.6580169099998</v>
      </c>
      <c r="R124" s="21">
        <f t="shared" si="90"/>
        <v>35.256093696182823</v>
      </c>
      <c r="S124" s="21">
        <v>703.69352000000003</v>
      </c>
      <c r="T124" s="21">
        <f t="shared" si="91"/>
        <v>5.7473824837011565</v>
      </c>
      <c r="U124" s="21">
        <v>0.61674861000000003</v>
      </c>
      <c r="V124" s="21">
        <f t="shared" si="92"/>
        <v>5.0372641742687015E-3</v>
      </c>
      <c r="W124" s="21">
        <v>0.53953861000000003</v>
      </c>
      <c r="X124" s="21">
        <f t="shared" si="93"/>
        <v>4.4066552671885757E-3</v>
      </c>
      <c r="Y124" s="33">
        <f t="shared" si="94"/>
        <v>17.221721410000228</v>
      </c>
      <c r="Z124" s="21">
        <f t="shared" si="95"/>
        <v>0.14065756918014036</v>
      </c>
      <c r="AA124" s="34">
        <v>480.93407215000002</v>
      </c>
      <c r="AB124" s="34">
        <f t="shared" si="96"/>
        <v>3.9280055642547032</v>
      </c>
      <c r="AC124" s="34">
        <v>44.144264329999999</v>
      </c>
      <c r="AD124" s="34">
        <f t="shared" si="97"/>
        <v>0.36054612463408181</v>
      </c>
      <c r="AE124" s="34">
        <v>43.211517909999998</v>
      </c>
      <c r="AF124" s="34">
        <f t="shared" si="98"/>
        <v>0.35292796376762542</v>
      </c>
      <c r="AG124" s="34">
        <v>2.2770292700000003</v>
      </c>
      <c r="AH124" s="34">
        <f t="shared" si="99"/>
        <v>1.8597525441576942E-2</v>
      </c>
      <c r="AI124" s="21">
        <v>176.08680903999996</v>
      </c>
    </row>
    <row r="125" spans="1:35" x14ac:dyDescent="0.25">
      <c r="A125" s="29" t="s">
        <v>66</v>
      </c>
      <c r="B125" s="35">
        <v>15422.93771756</v>
      </c>
      <c r="C125" s="35">
        <v>792.78013636999992</v>
      </c>
      <c r="D125" s="35">
        <v>5.1402667305552887</v>
      </c>
      <c r="E125" s="35">
        <v>2219.8828612700004</v>
      </c>
      <c r="F125" s="35">
        <v>14.393385371338962</v>
      </c>
      <c r="G125" s="35">
        <v>288.15636638000001</v>
      </c>
      <c r="H125" s="35">
        <v>1.8683623811299943</v>
      </c>
      <c r="I125" s="35">
        <v>733.25136234999991</v>
      </c>
      <c r="J125" s="35">
        <v>4.7542911459413233</v>
      </c>
      <c r="K125" s="35">
        <v>2362.6414395499996</v>
      </c>
      <c r="L125" s="35">
        <v>15.319010442867711</v>
      </c>
      <c r="M125" s="35">
        <v>1516.4168226499999</v>
      </c>
      <c r="N125" s="35">
        <v>9.8322177682366085</v>
      </c>
      <c r="O125" s="35">
        <v>506.04149092999995</v>
      </c>
      <c r="P125" s="35">
        <v>3.281096637989009</v>
      </c>
      <c r="Q125" s="35">
        <v>6214.7086563899993</v>
      </c>
      <c r="R125" s="35">
        <v>40.295232790275463</v>
      </c>
      <c r="S125" s="35">
        <v>890.77710999999999</v>
      </c>
      <c r="T125" s="35">
        <v>5.7756643144956312</v>
      </c>
      <c r="U125" s="35">
        <v>6.1328336500000002</v>
      </c>
      <c r="V125" s="35">
        <v>3.9764367608237032E-2</v>
      </c>
      <c r="W125" s="35">
        <v>1.1713285499999999</v>
      </c>
      <c r="X125" s="35">
        <v>7.5947175009749759E-3</v>
      </c>
      <c r="Y125" s="36">
        <v>233.6665964100014</v>
      </c>
      <c r="Z125" s="35">
        <v>1.5150589381162907</v>
      </c>
      <c r="AA125" s="37">
        <v>492.45224848999999</v>
      </c>
      <c r="AB125" s="37">
        <v>3.1929860413642963</v>
      </c>
      <c r="AC125" s="37">
        <v>39.79410395</v>
      </c>
      <c r="AD125" s="37">
        <v>0.25801896291581256</v>
      </c>
      <c r="AE125" s="37">
        <v>3.0852378900000001</v>
      </c>
      <c r="AF125" s="37">
        <v>2.0004216748455515E-2</v>
      </c>
      <c r="AG125" s="37">
        <v>12.756232730000001</v>
      </c>
      <c r="AH125" s="37">
        <v>8.2709487411572788E-2</v>
      </c>
      <c r="AI125" s="35">
        <v>247.24514382999999</v>
      </c>
    </row>
    <row r="126" spans="1:35" x14ac:dyDescent="0.25">
      <c r="A126" s="29" t="s">
        <v>50</v>
      </c>
      <c r="B126" s="21">
        <v>12479.27229287</v>
      </c>
      <c r="C126" s="21">
        <v>763.83707374000005</v>
      </c>
      <c r="D126" s="21">
        <f t="shared" ref="D126:D137" si="100">C126/$B126*100</f>
        <v>6.1208462786441187</v>
      </c>
      <c r="E126" s="21">
        <v>2546.44950939</v>
      </c>
      <c r="F126" s="21">
        <f t="shared" ref="F126:F137" si="101">E126/$B126*100</f>
        <v>20.405432701752225</v>
      </c>
      <c r="G126" s="21">
        <v>376.97497050999999</v>
      </c>
      <c r="H126" s="21">
        <f t="shared" ref="H126:H137" si="102">G126/$B126*100</f>
        <v>3.0208089194863041</v>
      </c>
      <c r="I126" s="21">
        <v>549.44296784000005</v>
      </c>
      <c r="J126" s="21">
        <f t="shared" ref="J126:J137" si="103">I126/$B126*100</f>
        <v>4.4028446126135323</v>
      </c>
      <c r="K126" s="21">
        <v>1291.0804609899999</v>
      </c>
      <c r="L126" s="21">
        <f t="shared" ref="L126:L137" si="104">K126/$B126*100</f>
        <v>10.345799263693086</v>
      </c>
      <c r="M126" s="21">
        <v>1428.183906</v>
      </c>
      <c r="N126" s="21">
        <f t="shared" ref="N126:N137" si="105">M126/$B126*100</f>
        <v>11.444448622344664</v>
      </c>
      <c r="O126" s="21">
        <v>391.27180147000001</v>
      </c>
      <c r="P126" s="21">
        <f t="shared" ref="P126:P137" si="106">O126/$B126*100</f>
        <v>3.1353735401186182</v>
      </c>
      <c r="Q126" s="21">
        <v>4452.0003956399996</v>
      </c>
      <c r="R126" s="21">
        <f t="shared" ref="R126:R137" si="107">Q126/$B126*100</f>
        <v>35.675160307092895</v>
      </c>
      <c r="S126" s="21">
        <v>704.25189999999998</v>
      </c>
      <c r="T126" s="21">
        <f t="shared" ref="T126:T137" si="108">S126/$B126*100</f>
        <v>5.6433731348451497</v>
      </c>
      <c r="U126" s="21">
        <v>6.62378059</v>
      </c>
      <c r="V126" s="21">
        <f t="shared" ref="V126:V137" si="109">U126/$B126*100</f>
        <v>5.3078259970210602E-2</v>
      </c>
      <c r="W126" s="21">
        <v>0.74295297999999999</v>
      </c>
      <c r="X126" s="21">
        <f t="shared" ref="X126:X137" si="110">W126/$B126*100</f>
        <v>5.9534960257617278E-3</v>
      </c>
      <c r="Y126" s="33">
        <f t="shared" ref="Y126:Y137" si="111">B126-C126-E126-G126-I126-K126-M126-W126-O126-Q126-U126-AA126-AC126-AE126-AG126</f>
        <v>142.0085838800004</v>
      </c>
      <c r="Z126" s="21">
        <f t="shared" ref="Z126:Z137" si="112">Y126/$B126*100</f>
        <v>1.1379556479518171</v>
      </c>
      <c r="AA126" s="34">
        <v>478.17058216999999</v>
      </c>
      <c r="AB126" s="34">
        <f t="shared" ref="AB126:AB137" si="113">AA126/B126*100</f>
        <v>3.8317184764307255</v>
      </c>
      <c r="AC126" s="34">
        <v>44.179691320000003</v>
      </c>
      <c r="AD126" s="34">
        <f t="shared" ref="AD126:AD137" si="114">AC126/$B126*100</f>
        <v>0.35402457998485981</v>
      </c>
      <c r="AE126" s="34">
        <v>8.3879999999999996E-2</v>
      </c>
      <c r="AF126" s="34">
        <f t="shared" ref="AF126:AF137" si="115">AE126/$B126*100</f>
        <v>6.7215457785887566E-4</v>
      </c>
      <c r="AG126" s="34">
        <v>8.2217363500000005</v>
      </c>
      <c r="AH126" s="34">
        <f t="shared" ref="AH126:AH137" si="116">AG126/$B126*100</f>
        <v>6.5883139313319322E-2</v>
      </c>
      <c r="AI126" s="21">
        <v>148.52589585999999</v>
      </c>
    </row>
    <row r="127" spans="1:35" x14ac:dyDescent="0.25">
      <c r="A127" s="29" t="s">
        <v>51</v>
      </c>
      <c r="B127" s="21">
        <v>12207.917385979999</v>
      </c>
      <c r="C127" s="21">
        <v>760.95946331000005</v>
      </c>
      <c r="D127" s="21">
        <f t="shared" si="100"/>
        <v>6.2333274321131356</v>
      </c>
      <c r="E127" s="21">
        <v>2062.9160887100002</v>
      </c>
      <c r="F127" s="21">
        <f t="shared" si="101"/>
        <v>16.898181921505508</v>
      </c>
      <c r="G127" s="21">
        <v>294.92613609</v>
      </c>
      <c r="H127" s="21">
        <f t="shared" si="102"/>
        <v>2.4158595341471063</v>
      </c>
      <c r="I127" s="21">
        <v>592.84667864000005</v>
      </c>
      <c r="J127" s="21">
        <f t="shared" si="103"/>
        <v>4.8562474654427623</v>
      </c>
      <c r="K127" s="21">
        <v>1708.40979975</v>
      </c>
      <c r="L127" s="21">
        <f t="shared" si="104"/>
        <v>13.994277203349997</v>
      </c>
      <c r="M127" s="21">
        <v>1149.18645735</v>
      </c>
      <c r="N127" s="21">
        <f t="shared" si="105"/>
        <v>9.4134521148526602</v>
      </c>
      <c r="O127" s="21">
        <v>411.39028789999998</v>
      </c>
      <c r="P127" s="21">
        <f t="shared" si="106"/>
        <v>3.3698646123904394</v>
      </c>
      <c r="Q127" s="21">
        <v>4568.9321661800004</v>
      </c>
      <c r="R127" s="21">
        <f t="shared" si="107"/>
        <v>37.42597546922395</v>
      </c>
      <c r="S127" s="21">
        <v>715.97889999999995</v>
      </c>
      <c r="T127" s="21">
        <f t="shared" si="108"/>
        <v>5.8648734043880015</v>
      </c>
      <c r="U127" s="21">
        <v>6.6628857000000004</v>
      </c>
      <c r="V127" s="21">
        <f t="shared" si="109"/>
        <v>5.4578397685193146E-2</v>
      </c>
      <c r="W127" s="21">
        <v>0.71075483000000006</v>
      </c>
      <c r="X127" s="21">
        <f t="shared" si="110"/>
        <v>5.8220809293504545E-3</v>
      </c>
      <c r="Y127" s="33">
        <f t="shared" si="111"/>
        <v>143.46907499999773</v>
      </c>
      <c r="Z127" s="21">
        <f t="shared" si="112"/>
        <v>1.1752133510074587</v>
      </c>
      <c r="AA127" s="34">
        <v>455.97012004999999</v>
      </c>
      <c r="AB127" s="34">
        <f t="shared" si="113"/>
        <v>3.7350360887406731</v>
      </c>
      <c r="AC127" s="34">
        <v>44.251221149999999</v>
      </c>
      <c r="AD127" s="34">
        <f t="shared" si="114"/>
        <v>0.36247969044105471</v>
      </c>
      <c r="AE127" s="34">
        <v>8.3879999999999996E-2</v>
      </c>
      <c r="AF127" s="34">
        <f t="shared" si="115"/>
        <v>6.8709508221550327E-4</v>
      </c>
      <c r="AG127" s="34">
        <v>7.2023713200000001</v>
      </c>
      <c r="AH127" s="34">
        <f t="shared" si="116"/>
        <v>5.8997543088483352E-2</v>
      </c>
      <c r="AI127" s="21">
        <v>169.21283187</v>
      </c>
    </row>
    <row r="128" spans="1:35" x14ac:dyDescent="0.25">
      <c r="A128" s="29" t="s">
        <v>52</v>
      </c>
      <c r="B128" s="21">
        <v>12451.11375792</v>
      </c>
      <c r="C128" s="21">
        <v>760.75256075000004</v>
      </c>
      <c r="D128" s="21">
        <f t="shared" si="100"/>
        <v>6.1099157516418536</v>
      </c>
      <c r="E128" s="21">
        <v>2092.45824167</v>
      </c>
      <c r="F128" s="21">
        <f t="shared" si="101"/>
        <v>16.805390122943926</v>
      </c>
      <c r="G128" s="21">
        <v>295.19308866</v>
      </c>
      <c r="H128" s="21">
        <f t="shared" si="102"/>
        <v>2.370816734946553</v>
      </c>
      <c r="I128" s="21">
        <v>606.09688549999998</v>
      </c>
      <c r="J128" s="21">
        <f t="shared" si="103"/>
        <v>4.8678126092492668</v>
      </c>
      <c r="K128" s="21">
        <v>1760.5347051399999</v>
      </c>
      <c r="L128" s="21">
        <f t="shared" si="104"/>
        <v>14.139576100331952</v>
      </c>
      <c r="M128" s="21">
        <v>1139.64230651</v>
      </c>
      <c r="N128" s="21">
        <f t="shared" si="105"/>
        <v>9.1529346584363793</v>
      </c>
      <c r="O128" s="21">
        <v>414.48034759000001</v>
      </c>
      <c r="P128" s="21">
        <f t="shared" si="106"/>
        <v>3.3288616235343134</v>
      </c>
      <c r="Q128" s="21">
        <v>4720.9266963999999</v>
      </c>
      <c r="R128" s="21">
        <f t="shared" si="107"/>
        <v>37.915698050683027</v>
      </c>
      <c r="S128" s="21">
        <v>621.77239999999995</v>
      </c>
      <c r="T128" s="21">
        <f t="shared" si="108"/>
        <v>4.993709093730657</v>
      </c>
      <c r="U128" s="21">
        <v>6.4808972300000001</v>
      </c>
      <c r="V128" s="21">
        <f t="shared" si="109"/>
        <v>5.205074305804637E-2</v>
      </c>
      <c r="W128" s="21">
        <v>0.66562326999999999</v>
      </c>
      <c r="X128" s="21">
        <f t="shared" si="110"/>
        <v>5.3458934111545254E-3</v>
      </c>
      <c r="Y128" s="33">
        <f t="shared" si="111"/>
        <v>148.58252837000248</v>
      </c>
      <c r="Z128" s="21">
        <f t="shared" si="112"/>
        <v>1.1933272095879048</v>
      </c>
      <c r="AA128" s="34">
        <v>452.36562629000002</v>
      </c>
      <c r="AB128" s="34">
        <f t="shared" si="113"/>
        <v>3.6331338311181667</v>
      </c>
      <c r="AC128" s="34">
        <v>44.279603260000002</v>
      </c>
      <c r="AD128" s="34">
        <f t="shared" si="114"/>
        <v>0.35562765003118124</v>
      </c>
      <c r="AE128" s="34">
        <v>2.4018570699999997</v>
      </c>
      <c r="AF128" s="34">
        <f t="shared" si="115"/>
        <v>1.9290298978050922E-2</v>
      </c>
      <c r="AG128" s="34">
        <v>6.2527902099999997</v>
      </c>
      <c r="AH128" s="34">
        <f t="shared" si="116"/>
        <v>5.0218722048239878E-2</v>
      </c>
      <c r="AI128" s="21">
        <v>153.27848051999999</v>
      </c>
    </row>
    <row r="129" spans="1:35" x14ac:dyDescent="0.25">
      <c r="A129" s="29" t="s">
        <v>53</v>
      </c>
      <c r="B129" s="21">
        <v>13019.48671463</v>
      </c>
      <c r="C129" s="21">
        <v>754.73232022000002</v>
      </c>
      <c r="D129" s="21">
        <f t="shared" si="100"/>
        <v>5.7969437410455447</v>
      </c>
      <c r="E129" s="21">
        <v>2110.0996065499999</v>
      </c>
      <c r="F129" s="21">
        <f t="shared" si="101"/>
        <v>16.207241136310547</v>
      </c>
      <c r="G129" s="21">
        <v>301.15269490999998</v>
      </c>
      <c r="H129" s="21">
        <f t="shared" si="102"/>
        <v>2.3130919176068181</v>
      </c>
      <c r="I129" s="21">
        <v>602.10746256000004</v>
      </c>
      <c r="J129" s="21">
        <f t="shared" si="103"/>
        <v>4.6246635966332814</v>
      </c>
      <c r="K129" s="21">
        <v>1970.2321580600001</v>
      </c>
      <c r="L129" s="21">
        <f t="shared" si="104"/>
        <v>15.132948028174182</v>
      </c>
      <c r="M129" s="21">
        <v>1231.40272566</v>
      </c>
      <c r="N129" s="21">
        <f t="shared" si="105"/>
        <v>9.4581510980480701</v>
      </c>
      <c r="O129" s="21">
        <v>427.1084505</v>
      </c>
      <c r="P129" s="21">
        <f t="shared" si="106"/>
        <v>3.2805321735153976</v>
      </c>
      <c r="Q129" s="21">
        <v>4913.6786837899999</v>
      </c>
      <c r="R129" s="21">
        <f t="shared" si="107"/>
        <v>37.740955473064062</v>
      </c>
      <c r="S129" s="21">
        <v>694.399</v>
      </c>
      <c r="T129" s="21">
        <f t="shared" si="108"/>
        <v>5.3335359159720461</v>
      </c>
      <c r="U129" s="21">
        <v>6.5667850999999997</v>
      </c>
      <c r="V129" s="21">
        <f t="shared" si="109"/>
        <v>5.0438125894939484E-2</v>
      </c>
      <c r="W129" s="21">
        <v>0.80608997999999987</v>
      </c>
      <c r="X129" s="21">
        <f t="shared" si="110"/>
        <v>6.1914113641223373E-3</v>
      </c>
      <c r="Y129" s="33">
        <f t="shared" si="111"/>
        <v>210.15329738999895</v>
      </c>
      <c r="Z129" s="21">
        <f t="shared" si="112"/>
        <v>1.6141442592652262</v>
      </c>
      <c r="AA129" s="34">
        <v>428.33501888000001</v>
      </c>
      <c r="AB129" s="34">
        <f t="shared" si="113"/>
        <v>3.2899531929986141</v>
      </c>
      <c r="AC129" s="34">
        <v>46.081520170000005</v>
      </c>
      <c r="AD129" s="34">
        <f t="shared" si="114"/>
        <v>0.35394267976953492</v>
      </c>
      <c r="AE129" s="34">
        <v>2.8152853900000001</v>
      </c>
      <c r="AF129" s="34">
        <f t="shared" si="115"/>
        <v>2.162362811766199E-2</v>
      </c>
      <c r="AG129" s="34">
        <v>14.214615470000002</v>
      </c>
      <c r="AH129" s="34">
        <f t="shared" si="116"/>
        <v>0.10917953819198599</v>
      </c>
      <c r="AI129" s="21">
        <v>168.04585049999997</v>
      </c>
    </row>
    <row r="130" spans="1:35" x14ac:dyDescent="0.25">
      <c r="A130" s="29" t="s">
        <v>54</v>
      </c>
      <c r="B130" s="21">
        <v>13406.32168666</v>
      </c>
      <c r="C130" s="21">
        <v>768.69702253000003</v>
      </c>
      <c r="D130" s="21">
        <f t="shared" si="100"/>
        <v>5.7338399040125543</v>
      </c>
      <c r="E130" s="21">
        <v>2132.5072735600002</v>
      </c>
      <c r="F130" s="21">
        <f t="shared" si="101"/>
        <v>15.906729104389298</v>
      </c>
      <c r="G130" s="21">
        <v>290.14279528999998</v>
      </c>
      <c r="H130" s="21">
        <f t="shared" si="102"/>
        <v>2.164223730202651</v>
      </c>
      <c r="I130" s="21">
        <v>609.85090147999995</v>
      </c>
      <c r="J130" s="21">
        <f t="shared" si="103"/>
        <v>4.5489800687599038</v>
      </c>
      <c r="K130" s="21">
        <v>2066.9386506000001</v>
      </c>
      <c r="L130" s="21">
        <f t="shared" si="104"/>
        <v>15.417641758191685</v>
      </c>
      <c r="M130" s="21">
        <v>1284.35502954</v>
      </c>
      <c r="N130" s="21">
        <f t="shared" si="105"/>
        <v>9.580219388723167</v>
      </c>
      <c r="O130" s="21">
        <v>448.45985101999997</v>
      </c>
      <c r="P130" s="21">
        <f t="shared" si="106"/>
        <v>3.3451371785762927</v>
      </c>
      <c r="Q130" s="21">
        <v>5088.6920606699996</v>
      </c>
      <c r="R130" s="21">
        <f t="shared" si="107"/>
        <v>37.957406808561949</v>
      </c>
      <c r="S130" s="21">
        <v>762.9</v>
      </c>
      <c r="T130" s="21">
        <f t="shared" si="108"/>
        <v>5.69059894153611</v>
      </c>
      <c r="U130" s="21">
        <v>6.3480361499999995</v>
      </c>
      <c r="V130" s="21">
        <f t="shared" si="109"/>
        <v>4.7351065403097345E-2</v>
      </c>
      <c r="W130" s="21">
        <v>0.51082572000000004</v>
      </c>
      <c r="X130" s="21">
        <f t="shared" si="110"/>
        <v>3.8103346461415936E-3</v>
      </c>
      <c r="Y130" s="33">
        <f t="shared" si="111"/>
        <v>209.62515208000028</v>
      </c>
      <c r="Z130" s="21">
        <f t="shared" si="112"/>
        <v>1.5636291369062731</v>
      </c>
      <c r="AA130" s="34">
        <v>440.63140103999996</v>
      </c>
      <c r="AB130" s="34">
        <f t="shared" si="113"/>
        <v>3.2867434583376558</v>
      </c>
      <c r="AC130" s="34">
        <v>45.913648100000003</v>
      </c>
      <c r="AD130" s="34">
        <f t="shared" si="114"/>
        <v>0.34247759507133502</v>
      </c>
      <c r="AE130" s="34">
        <v>2.9848236299999997</v>
      </c>
      <c r="AF130" s="34">
        <f t="shared" si="115"/>
        <v>2.2264299632389527E-2</v>
      </c>
      <c r="AG130" s="34">
        <v>10.66421525</v>
      </c>
      <c r="AH130" s="34">
        <f t="shared" si="116"/>
        <v>7.9546168585611809E-2</v>
      </c>
      <c r="AI130" s="21">
        <v>164.48459394999998</v>
      </c>
    </row>
    <row r="131" spans="1:35" x14ac:dyDescent="0.25">
      <c r="A131" s="29" t="s">
        <v>55</v>
      </c>
      <c r="B131" s="21">
        <v>13774.07890362</v>
      </c>
      <c r="C131" s="21">
        <v>781.83677584999998</v>
      </c>
      <c r="D131" s="21">
        <f t="shared" si="100"/>
        <v>5.6761456161291735</v>
      </c>
      <c r="E131" s="21">
        <v>2162.5061068599998</v>
      </c>
      <c r="F131" s="21">
        <f t="shared" si="101"/>
        <v>15.699823719549524</v>
      </c>
      <c r="G131" s="21">
        <v>317.64889956000002</v>
      </c>
      <c r="H131" s="21">
        <f t="shared" si="102"/>
        <v>2.3061353269619929</v>
      </c>
      <c r="I131" s="21">
        <v>671.32877133</v>
      </c>
      <c r="J131" s="21">
        <f t="shared" si="103"/>
        <v>4.8738560017509878</v>
      </c>
      <c r="K131" s="21">
        <v>2132.24301719</v>
      </c>
      <c r="L131" s="21">
        <f t="shared" si="104"/>
        <v>15.48011327733588</v>
      </c>
      <c r="M131" s="21">
        <v>1342.11179952</v>
      </c>
      <c r="N131" s="21">
        <f t="shared" si="105"/>
        <v>9.7437499008901138</v>
      </c>
      <c r="O131" s="21">
        <v>442.89592489</v>
      </c>
      <c r="P131" s="21">
        <f t="shared" si="106"/>
        <v>3.2154304326919561</v>
      </c>
      <c r="Q131" s="21">
        <v>5199.0176160000001</v>
      </c>
      <c r="R131" s="21">
        <f t="shared" si="107"/>
        <v>37.744938535480827</v>
      </c>
      <c r="S131" s="21">
        <v>763.029</v>
      </c>
      <c r="T131" s="21">
        <f t="shared" si="108"/>
        <v>5.5396009079014821</v>
      </c>
      <c r="U131" s="21">
        <v>6.2618868200000009</v>
      </c>
      <c r="V131" s="21">
        <f t="shared" si="109"/>
        <v>4.5461383398597337E-2</v>
      </c>
      <c r="W131" s="21">
        <v>0.47869862000000007</v>
      </c>
      <c r="X131" s="21">
        <f t="shared" si="110"/>
        <v>3.4753584856711695E-3</v>
      </c>
      <c r="Y131" s="33">
        <f t="shared" si="111"/>
        <v>207.93002785000206</v>
      </c>
      <c r="Z131" s="21">
        <f t="shared" si="112"/>
        <v>1.5095748275070173</v>
      </c>
      <c r="AA131" s="34">
        <v>451.03102128</v>
      </c>
      <c r="AB131" s="34">
        <f t="shared" si="113"/>
        <v>3.2744913430215896</v>
      </c>
      <c r="AC131" s="34">
        <v>46.201820490000003</v>
      </c>
      <c r="AD131" s="34">
        <f t="shared" si="114"/>
        <v>0.33542584453946744</v>
      </c>
      <c r="AE131" s="34">
        <v>3.8415602999999998</v>
      </c>
      <c r="AF131" s="34">
        <f t="shared" si="115"/>
        <v>2.7889779976433778E-2</v>
      </c>
      <c r="AG131" s="34">
        <v>8.7449770600000001</v>
      </c>
      <c r="AH131" s="34">
        <f t="shared" si="116"/>
        <v>6.348865228078307E-2</v>
      </c>
      <c r="AI131" s="21">
        <v>197.48201545000001</v>
      </c>
    </row>
    <row r="132" spans="1:35" x14ac:dyDescent="0.25">
      <c r="A132" s="29" t="s">
        <v>56</v>
      </c>
      <c r="B132" s="21">
        <v>14199.279780230003</v>
      </c>
      <c r="C132" s="21">
        <v>776.64498170000013</v>
      </c>
      <c r="D132" s="21">
        <f t="shared" si="100"/>
        <v>5.4696082739445808</v>
      </c>
      <c r="E132" s="21">
        <v>2166.9680132599997</v>
      </c>
      <c r="F132" s="21">
        <f t="shared" si="101"/>
        <v>15.261112160611983</v>
      </c>
      <c r="G132" s="21">
        <v>321.39758719999998</v>
      </c>
      <c r="H132" s="21">
        <f t="shared" si="102"/>
        <v>2.2634780930754639</v>
      </c>
      <c r="I132" s="21">
        <v>692.64870684000005</v>
      </c>
      <c r="J132" s="21">
        <f t="shared" si="103"/>
        <v>4.8780552081549331</v>
      </c>
      <c r="K132" s="21">
        <v>2201.7423534500003</v>
      </c>
      <c r="L132" s="21">
        <f t="shared" si="104"/>
        <v>15.506014301623516</v>
      </c>
      <c r="M132" s="21">
        <v>1371.95475347</v>
      </c>
      <c r="N132" s="21">
        <f t="shared" si="105"/>
        <v>9.6621432544783392</v>
      </c>
      <c r="O132" s="21">
        <v>488.90894050999998</v>
      </c>
      <c r="P132" s="21">
        <f t="shared" si="106"/>
        <v>3.4431953456591482</v>
      </c>
      <c r="Q132" s="21">
        <v>5427.3647796500009</v>
      </c>
      <c r="R132" s="21">
        <f t="shared" si="107"/>
        <v>38.22281737984099</v>
      </c>
      <c r="S132" s="21">
        <v>791.7</v>
      </c>
      <c r="T132" s="21">
        <f t="shared" si="108"/>
        <v>5.5756349072176388</v>
      </c>
      <c r="U132" s="21">
        <v>6.2659329899999996</v>
      </c>
      <c r="V132" s="21">
        <f t="shared" si="109"/>
        <v>4.4128526847708203E-2</v>
      </c>
      <c r="W132" s="21">
        <v>0.41931369000000002</v>
      </c>
      <c r="X132" s="21">
        <f t="shared" si="110"/>
        <v>2.9530630883393147E-3</v>
      </c>
      <c r="Y132" s="33">
        <f t="shared" si="111"/>
        <v>221.50943866000313</v>
      </c>
      <c r="Z132" s="21">
        <f t="shared" si="112"/>
        <v>1.5600047473422984</v>
      </c>
      <c r="AA132" s="34">
        <v>463.50539189</v>
      </c>
      <c r="AB132" s="34">
        <f t="shared" si="113"/>
        <v>3.2642880418156821</v>
      </c>
      <c r="AC132" s="38">
        <v>46.153006570000002</v>
      </c>
      <c r="AD132" s="34">
        <f t="shared" si="114"/>
        <v>0.32503765884140084</v>
      </c>
      <c r="AE132" s="34">
        <v>4.3907345199999996</v>
      </c>
      <c r="AF132" s="34">
        <f t="shared" si="115"/>
        <v>3.0922234000299961E-2</v>
      </c>
      <c r="AG132" s="34">
        <v>9.4058458300000005</v>
      </c>
      <c r="AH132" s="34">
        <f t="shared" si="116"/>
        <v>6.6241710675325832E-2</v>
      </c>
      <c r="AI132" s="21">
        <v>161.64778176999999</v>
      </c>
    </row>
    <row r="133" spans="1:35" x14ac:dyDescent="0.25">
      <c r="A133" s="29" t="s">
        <v>57</v>
      </c>
      <c r="B133" s="21">
        <v>14455.06697641</v>
      </c>
      <c r="C133" s="21">
        <v>764.77188057000012</v>
      </c>
      <c r="D133" s="21">
        <f t="shared" si="100"/>
        <v>5.2906837569004166</v>
      </c>
      <c r="E133" s="21">
        <v>2206.9101145099999</v>
      </c>
      <c r="F133" s="21">
        <f t="shared" si="101"/>
        <v>15.267380760750365</v>
      </c>
      <c r="G133" s="21">
        <v>318.53611668999997</v>
      </c>
      <c r="H133" s="21">
        <f t="shared" si="102"/>
        <v>2.2036294761541826</v>
      </c>
      <c r="I133" s="21">
        <v>695.71759782000004</v>
      </c>
      <c r="J133" s="21">
        <f t="shared" si="103"/>
        <v>4.8129669613802477</v>
      </c>
      <c r="K133" s="21">
        <v>2239.4291437100001</v>
      </c>
      <c r="L133" s="21">
        <f t="shared" si="104"/>
        <v>15.492347059786335</v>
      </c>
      <c r="M133" s="21">
        <v>1413.0729526099999</v>
      </c>
      <c r="N133" s="21">
        <f t="shared" si="105"/>
        <v>9.7756236959404585</v>
      </c>
      <c r="O133" s="21">
        <v>482.49486396999998</v>
      </c>
      <c r="P133" s="21">
        <f t="shared" si="106"/>
        <v>3.3378943505236554</v>
      </c>
      <c r="Q133" s="21">
        <v>5572.5971188800004</v>
      </c>
      <c r="R133" s="21">
        <f t="shared" si="107"/>
        <v>38.551167752970088</v>
      </c>
      <c r="S133" s="21">
        <v>837.9</v>
      </c>
      <c r="T133" s="21">
        <f t="shared" si="108"/>
        <v>5.7965833113565921</v>
      </c>
      <c r="U133" s="21">
        <v>6.10353002</v>
      </c>
      <c r="V133" s="21">
        <f t="shared" si="109"/>
        <v>4.222415593065517E-2</v>
      </c>
      <c r="W133" s="21">
        <v>0.41444533</v>
      </c>
      <c r="X133" s="21">
        <f t="shared" si="110"/>
        <v>2.8671283964049115E-3</v>
      </c>
      <c r="Y133" s="33">
        <f t="shared" si="111"/>
        <v>221.13621117000073</v>
      </c>
      <c r="Z133" s="21">
        <f t="shared" si="112"/>
        <v>1.5298179630082986</v>
      </c>
      <c r="AA133" s="34">
        <v>472.98039385999999</v>
      </c>
      <c r="AB133" s="34">
        <f t="shared" si="113"/>
        <v>3.2720733472344476</v>
      </c>
      <c r="AC133" s="38">
        <v>46.097560739999999</v>
      </c>
      <c r="AD133" s="34">
        <f t="shared" si="114"/>
        <v>0.31890243618538111</v>
      </c>
      <c r="AE133" s="34">
        <v>4.8729199200000002</v>
      </c>
      <c r="AF133" s="34">
        <f t="shared" si="115"/>
        <v>3.3710808313461155E-2</v>
      </c>
      <c r="AG133" s="34">
        <v>9.9321266099999992</v>
      </c>
      <c r="AH133" s="34">
        <f t="shared" si="116"/>
        <v>6.8710346525607743E-2</v>
      </c>
      <c r="AI133" s="21">
        <v>150.02891824</v>
      </c>
    </row>
    <row r="134" spans="1:35" x14ac:dyDescent="0.25">
      <c r="A134" s="29" t="s">
        <v>58</v>
      </c>
      <c r="B134" s="21">
        <v>14793.329728140001</v>
      </c>
      <c r="C134" s="21">
        <v>794.96214473999987</v>
      </c>
      <c r="D134" s="21">
        <f t="shared" si="100"/>
        <v>5.3737877769858393</v>
      </c>
      <c r="E134" s="21">
        <v>2197.3822061400001</v>
      </c>
      <c r="F134" s="21">
        <f t="shared" si="101"/>
        <v>14.853871619991816</v>
      </c>
      <c r="G134" s="21">
        <v>368.31887066000002</v>
      </c>
      <c r="H134" s="21">
        <f t="shared" si="102"/>
        <v>2.4897631393923483</v>
      </c>
      <c r="I134" s="21">
        <v>705.85343288000013</v>
      </c>
      <c r="J134" s="21">
        <f t="shared" si="103"/>
        <v>4.7714304071605973</v>
      </c>
      <c r="K134" s="21">
        <v>2283.8486851100001</v>
      </c>
      <c r="L134" s="21">
        <f t="shared" si="104"/>
        <v>15.438368015049669</v>
      </c>
      <c r="M134" s="21">
        <v>1467.44897638</v>
      </c>
      <c r="N134" s="21">
        <f t="shared" si="105"/>
        <v>9.919666520976719</v>
      </c>
      <c r="O134" s="21">
        <v>515.53094249000003</v>
      </c>
      <c r="P134" s="21">
        <f t="shared" si="106"/>
        <v>3.4848877971627479</v>
      </c>
      <c r="Q134" s="21">
        <v>5688.8505196999995</v>
      </c>
      <c r="R134" s="21">
        <f t="shared" si="107"/>
        <v>38.455510856887201</v>
      </c>
      <c r="S134" s="21">
        <v>848.49592342000005</v>
      </c>
      <c r="T134" s="21">
        <f t="shared" si="108"/>
        <v>5.7356655939736383</v>
      </c>
      <c r="U134" s="21">
        <v>6.0523928399999996</v>
      </c>
      <c r="V134" s="21">
        <f t="shared" si="109"/>
        <v>4.0912985455107409E-2</v>
      </c>
      <c r="W134" s="21">
        <v>0.33859154000000002</v>
      </c>
      <c r="X134" s="21">
        <f t="shared" si="110"/>
        <v>2.2888122297168045E-3</v>
      </c>
      <c r="Y134" s="33">
        <f t="shared" si="111"/>
        <v>224.61924733000046</v>
      </c>
      <c r="Z134" s="21">
        <f t="shared" si="112"/>
        <v>1.5183819427936347</v>
      </c>
      <c r="AA134" s="34">
        <v>479.60830871999997</v>
      </c>
      <c r="AB134" s="34">
        <f t="shared" si="113"/>
        <v>3.2420578567087897</v>
      </c>
      <c r="AC134" s="38">
        <v>45.66509765</v>
      </c>
      <c r="AD134" s="34">
        <f t="shared" si="114"/>
        <v>0.3086870805234298</v>
      </c>
      <c r="AE134" s="34">
        <v>4.5219986799999994</v>
      </c>
      <c r="AF134" s="34">
        <f t="shared" si="115"/>
        <v>3.0567821870408352E-2</v>
      </c>
      <c r="AG134" s="34">
        <v>10.32831328</v>
      </c>
      <c r="AH134" s="34">
        <f t="shared" si="116"/>
        <v>6.9817366811971968E-2</v>
      </c>
      <c r="AI134" s="21">
        <v>216.88082567999999</v>
      </c>
    </row>
    <row r="135" spans="1:35" x14ac:dyDescent="0.25">
      <c r="A135" s="29" t="s">
        <v>59</v>
      </c>
      <c r="B135" s="21">
        <v>14991.39518155</v>
      </c>
      <c r="C135" s="21">
        <v>783.15707915999997</v>
      </c>
      <c r="D135" s="21">
        <f t="shared" si="100"/>
        <v>5.2240439910745335</v>
      </c>
      <c r="E135" s="21">
        <v>2226.99342957</v>
      </c>
      <c r="F135" s="21">
        <f t="shared" si="101"/>
        <v>14.855144585280321</v>
      </c>
      <c r="G135" s="21">
        <v>307.81759512999997</v>
      </c>
      <c r="H135" s="21">
        <f t="shared" si="102"/>
        <v>2.0532951830182755</v>
      </c>
      <c r="I135" s="21">
        <v>722.47953298000004</v>
      </c>
      <c r="J135" s="21">
        <f t="shared" si="103"/>
        <v>4.8192948303381389</v>
      </c>
      <c r="K135" s="21">
        <v>2302.9123314199996</v>
      </c>
      <c r="L135" s="21">
        <f t="shared" si="104"/>
        <v>15.361561105761576</v>
      </c>
      <c r="M135" s="21">
        <v>1456.38456032</v>
      </c>
      <c r="N135" s="21">
        <f t="shared" si="105"/>
        <v>9.7148033434031618</v>
      </c>
      <c r="O135" s="21">
        <v>497.00290584999999</v>
      </c>
      <c r="P135" s="21">
        <f t="shared" si="106"/>
        <v>3.3152545165486962</v>
      </c>
      <c r="Q135" s="21">
        <v>5886.71215674</v>
      </c>
      <c r="R135" s="21">
        <f t="shared" si="107"/>
        <v>39.267273562268649</v>
      </c>
      <c r="S135" s="21">
        <v>827.07896320999998</v>
      </c>
      <c r="T135" s="21">
        <f t="shared" si="108"/>
        <v>5.5170246210832401</v>
      </c>
      <c r="U135" s="21">
        <v>6.01394669</v>
      </c>
      <c r="V135" s="21">
        <f t="shared" si="109"/>
        <v>4.0115990654434885E-2</v>
      </c>
      <c r="W135" s="21">
        <v>0.33842934000000002</v>
      </c>
      <c r="X135" s="21">
        <f t="shared" si="110"/>
        <v>2.2574906197957282E-3</v>
      </c>
      <c r="Y135" s="33">
        <f t="shared" si="111"/>
        <v>259.32647688000014</v>
      </c>
      <c r="Z135" s="21">
        <f t="shared" si="112"/>
        <v>1.7298355072325406</v>
      </c>
      <c r="AA135" s="34">
        <v>480.92118159</v>
      </c>
      <c r="AB135" s="34">
        <f t="shared" si="113"/>
        <v>3.2079814838172807</v>
      </c>
      <c r="AC135" s="38">
        <v>45.742781350000001</v>
      </c>
      <c r="AD135" s="34">
        <f t="shared" si="114"/>
        <v>0.30512691311276963</v>
      </c>
      <c r="AE135" s="34">
        <v>4.1871113299999996</v>
      </c>
      <c r="AF135" s="34">
        <f t="shared" si="115"/>
        <v>2.7930097761368483E-2</v>
      </c>
      <c r="AG135" s="34">
        <v>11.405663199999999</v>
      </c>
      <c r="AH135" s="34">
        <f t="shared" si="116"/>
        <v>7.6081399108450007E-2</v>
      </c>
      <c r="AI135" s="21">
        <v>220.87113797999999</v>
      </c>
    </row>
    <row r="136" spans="1:35" x14ac:dyDescent="0.25">
      <c r="A136" s="29" t="s">
        <v>60</v>
      </c>
      <c r="B136" s="21">
        <v>15245.292023950004</v>
      </c>
      <c r="C136" s="21">
        <v>794.97631180999997</v>
      </c>
      <c r="D136" s="21">
        <f>C136/$B136*100</f>
        <v>5.2145692621768767</v>
      </c>
      <c r="E136" s="21">
        <v>2243.8173912000002</v>
      </c>
      <c r="F136" s="21">
        <f t="shared" si="101"/>
        <v>14.718100431759618</v>
      </c>
      <c r="G136" s="21">
        <v>299.15839960000005</v>
      </c>
      <c r="H136" s="21">
        <f t="shared" si="102"/>
        <v>1.9623002244235732</v>
      </c>
      <c r="I136" s="21">
        <v>734.13349555000013</v>
      </c>
      <c r="J136" s="21">
        <f t="shared" si="103"/>
        <v>4.8154767674944718</v>
      </c>
      <c r="K136" s="21">
        <v>2360.3829304000001</v>
      </c>
      <c r="L136" s="21">
        <f t="shared" si="104"/>
        <v>15.482700670422664</v>
      </c>
      <c r="M136" s="21">
        <v>1461.20563808</v>
      </c>
      <c r="N136" s="21">
        <f t="shared" si="105"/>
        <v>9.5846352814001818</v>
      </c>
      <c r="O136" s="21">
        <v>500.85395933000001</v>
      </c>
      <c r="P136" s="21">
        <f t="shared" si="106"/>
        <v>3.2853024956371444</v>
      </c>
      <c r="Q136" s="21">
        <v>6035.1861438200012</v>
      </c>
      <c r="R136" s="21">
        <f t="shared" si="107"/>
        <v>39.587212460993612</v>
      </c>
      <c r="S136" s="21">
        <v>847.00435000000004</v>
      </c>
      <c r="T136" s="21">
        <f t="shared" si="108"/>
        <v>5.5558420833748263</v>
      </c>
      <c r="U136" s="21">
        <v>7.5997413199999997</v>
      </c>
      <c r="V136" s="21">
        <f t="shared" si="109"/>
        <v>4.9849758916136085E-2</v>
      </c>
      <c r="W136" s="21">
        <v>0.42624202999999999</v>
      </c>
      <c r="X136" s="21">
        <f t="shared" si="110"/>
        <v>2.795892852235192E-3</v>
      </c>
      <c r="Y136" s="33">
        <f t="shared" si="111"/>
        <v>254.0578780600008</v>
      </c>
      <c r="Z136" s="21">
        <f t="shared" si="112"/>
        <v>1.666467770252493</v>
      </c>
      <c r="AA136" s="34">
        <v>491.12168430000003</v>
      </c>
      <c r="AB136" s="34">
        <f t="shared" si="113"/>
        <v>3.221464590697634</v>
      </c>
      <c r="AC136" s="38">
        <v>46.424785219999997</v>
      </c>
      <c r="AD136" s="34">
        <f t="shared" si="114"/>
        <v>0.30451883208972136</v>
      </c>
      <c r="AE136" s="34">
        <v>3.7838559599999999</v>
      </c>
      <c r="AF136" s="34">
        <f t="shared" si="115"/>
        <v>2.4819832601800273E-2</v>
      </c>
      <c r="AG136" s="34">
        <v>12.16356727</v>
      </c>
      <c r="AH136" s="34">
        <f t="shared" si="116"/>
        <v>7.9785728281828339E-2</v>
      </c>
      <c r="AI136" s="21">
        <v>265.25638386000003</v>
      </c>
    </row>
    <row r="137" spans="1:35" x14ac:dyDescent="0.25">
      <c r="A137" s="29" t="s">
        <v>61</v>
      </c>
      <c r="B137" s="21">
        <v>15422.93771756</v>
      </c>
      <c r="C137" s="21">
        <v>792.78013636999992</v>
      </c>
      <c r="D137" s="21">
        <f t="shared" si="100"/>
        <v>5.1402667305552887</v>
      </c>
      <c r="E137" s="21">
        <v>2219.8828612700004</v>
      </c>
      <c r="F137" s="21">
        <f t="shared" si="101"/>
        <v>14.393385371338962</v>
      </c>
      <c r="G137" s="21">
        <v>288.15636638000001</v>
      </c>
      <c r="H137" s="21">
        <f t="shared" si="102"/>
        <v>1.8683623811299943</v>
      </c>
      <c r="I137" s="21">
        <v>733.25136234999991</v>
      </c>
      <c r="J137" s="21">
        <f t="shared" si="103"/>
        <v>4.7542911459413233</v>
      </c>
      <c r="K137" s="21">
        <v>2362.6414395499996</v>
      </c>
      <c r="L137" s="21">
        <f t="shared" si="104"/>
        <v>15.319010442867711</v>
      </c>
      <c r="M137" s="21">
        <v>1516.4168226499999</v>
      </c>
      <c r="N137" s="21">
        <f t="shared" si="105"/>
        <v>9.8322177682366085</v>
      </c>
      <c r="O137" s="21">
        <v>506.04149092999995</v>
      </c>
      <c r="P137" s="21">
        <f t="shared" si="106"/>
        <v>3.281096637989009</v>
      </c>
      <c r="Q137" s="21">
        <v>6214.7086563899993</v>
      </c>
      <c r="R137" s="21">
        <f t="shared" si="107"/>
        <v>40.295232790275463</v>
      </c>
      <c r="S137" s="21">
        <v>890.77710999999999</v>
      </c>
      <c r="T137" s="21">
        <f t="shared" si="108"/>
        <v>5.7756643144956312</v>
      </c>
      <c r="U137" s="21">
        <v>6.1328336500000002</v>
      </c>
      <c r="V137" s="21">
        <f t="shared" si="109"/>
        <v>3.9764367608237032E-2</v>
      </c>
      <c r="W137" s="21">
        <v>1.1713285499999999</v>
      </c>
      <c r="X137" s="21">
        <f t="shared" si="110"/>
        <v>7.5947175009749759E-3</v>
      </c>
      <c r="Y137" s="33">
        <f t="shared" si="111"/>
        <v>233.6665964100014</v>
      </c>
      <c r="Z137" s="21">
        <f t="shared" si="112"/>
        <v>1.5150589381162907</v>
      </c>
      <c r="AA137" s="34">
        <v>492.45224848999999</v>
      </c>
      <c r="AB137" s="34">
        <f t="shared" si="113"/>
        <v>3.1929860413642963</v>
      </c>
      <c r="AC137" s="38">
        <v>39.79410395</v>
      </c>
      <c r="AD137" s="34">
        <f t="shared" si="114"/>
        <v>0.25801896291581256</v>
      </c>
      <c r="AE137" s="34">
        <v>3.0852378900000001</v>
      </c>
      <c r="AF137" s="34">
        <f t="shared" si="115"/>
        <v>2.0004216748455515E-2</v>
      </c>
      <c r="AG137" s="34">
        <v>12.756232730000001</v>
      </c>
      <c r="AH137" s="34">
        <f t="shared" si="116"/>
        <v>8.2709487411572788E-2</v>
      </c>
      <c r="AI137" s="21">
        <v>247.24514382999999</v>
      </c>
    </row>
    <row r="138" spans="1:35" x14ac:dyDescent="0.25">
      <c r="A138" s="29" t="s">
        <v>67</v>
      </c>
      <c r="B138" s="35">
        <v>18542.609915010002</v>
      </c>
      <c r="C138" s="35">
        <v>976.32447814</v>
      </c>
      <c r="D138" s="35">
        <v>5.2653023636639089</v>
      </c>
      <c r="E138" s="35">
        <v>2680.7114317600003</v>
      </c>
      <c r="F138" s="35">
        <v>14.457034063958812</v>
      </c>
      <c r="G138" s="35">
        <v>195.82566301</v>
      </c>
      <c r="H138" s="35">
        <v>1.0560846822942744</v>
      </c>
      <c r="I138" s="35">
        <v>847.28370650000011</v>
      </c>
      <c r="J138" s="35">
        <v>4.5693875370485735</v>
      </c>
      <c r="K138" s="35">
        <v>2555.06533481</v>
      </c>
      <c r="L138" s="35">
        <v>13.779426663890003</v>
      </c>
      <c r="M138" s="35">
        <v>2027.84494105</v>
      </c>
      <c r="N138" s="35">
        <v>10.936135475775101</v>
      </c>
      <c r="O138" s="35">
        <v>736.03862677000006</v>
      </c>
      <c r="P138" s="35">
        <v>3.9694445935261049</v>
      </c>
      <c r="Q138" s="35">
        <v>7731.8495643100005</v>
      </c>
      <c r="R138" s="35">
        <v>44.015279110070509</v>
      </c>
      <c r="S138" s="35">
        <v>1219.0572196200001</v>
      </c>
      <c r="T138" s="35">
        <v>6.5743561732007807</v>
      </c>
      <c r="U138" s="35">
        <v>3.8811900599999998</v>
      </c>
      <c r="V138" s="35">
        <v>2.1541294463388434E-2</v>
      </c>
      <c r="W138" s="35">
        <v>0.92742879</v>
      </c>
      <c r="X138" s="35">
        <v>5.001608696137529E-3</v>
      </c>
      <c r="Y138" s="36">
        <v>231.17891463000026</v>
      </c>
      <c r="Z138" s="35">
        <v>1.2467442053174183</v>
      </c>
      <c r="AA138" s="37">
        <v>464.15112331</v>
      </c>
      <c r="AB138" s="37">
        <v>2.5761212071982955</v>
      </c>
      <c r="AC138" s="39">
        <v>61.545874310000002</v>
      </c>
      <c r="AD138" s="37">
        <v>0.34159053821713736</v>
      </c>
      <c r="AE138" s="37">
        <v>2.1905423500000003</v>
      </c>
      <c r="AF138" s="37">
        <v>1.1813560011456559E-2</v>
      </c>
      <c r="AG138" s="37">
        <v>27.791095210000002</v>
      </c>
      <c r="AH138" s="37">
        <v>0.15424551648436249</v>
      </c>
      <c r="AI138" s="35">
        <v>274.64375505999999</v>
      </c>
    </row>
    <row r="139" spans="1:35" x14ac:dyDescent="0.25">
      <c r="A139" s="29" t="s">
        <v>50</v>
      </c>
      <c r="B139" s="21">
        <v>15484.635822390001</v>
      </c>
      <c r="C139" s="21">
        <v>815.10982631000002</v>
      </c>
      <c r="D139" s="21">
        <f t="shared" ref="D139:D145" si="117">C139/$B139*100</f>
        <v>5.2639909369479163</v>
      </c>
      <c r="E139" s="21">
        <v>2211.3657961999997</v>
      </c>
      <c r="F139" s="21">
        <f t="shared" ref="F139:F145" si="118">E139/$B139*100</f>
        <v>14.281031995615139</v>
      </c>
      <c r="G139" s="21">
        <v>285.52514594000002</v>
      </c>
      <c r="H139" s="21">
        <f t="shared" ref="H139:H145" si="119">G139/$B139*100</f>
        <v>1.8439254833952576</v>
      </c>
      <c r="I139" s="21">
        <v>733.05040870000016</v>
      </c>
      <c r="J139" s="21">
        <f t="shared" ref="J139:J145" si="120">I139/$B139*100</f>
        <v>4.7340500423009395</v>
      </c>
      <c r="K139" s="21">
        <v>1997.3013366499999</v>
      </c>
      <c r="L139" s="21">
        <f t="shared" ref="L139:L145" si="121">K139/$B139*100</f>
        <v>12.898600648792808</v>
      </c>
      <c r="M139" s="21">
        <v>1841.3114409099999</v>
      </c>
      <c r="N139" s="21">
        <f t="shared" ref="N139:N145" si="122">M139/$B139*100</f>
        <v>11.891215667129586</v>
      </c>
      <c r="O139" s="21">
        <v>514.73581374999992</v>
      </c>
      <c r="P139" s="21">
        <f t="shared" ref="P139:P145" si="123">O139/$B139*100</f>
        <v>3.324171260170794</v>
      </c>
      <c r="Q139" s="21">
        <v>6307.2842271000009</v>
      </c>
      <c r="R139" s="21">
        <f t="shared" ref="R139:R145" si="124">Q139/$B139*100</f>
        <v>40.732531907401956</v>
      </c>
      <c r="S139" s="21">
        <v>877.97500000000002</v>
      </c>
      <c r="T139" s="21">
        <f t="shared" ref="T139:T150" si="125">S139/$B139*100</f>
        <v>5.6699751293504272</v>
      </c>
      <c r="U139" s="21">
        <v>5.8147335599999996</v>
      </c>
      <c r="V139" s="21">
        <f t="shared" ref="V139:V145" si="126">U139/$B139*100</f>
        <v>3.7551632642158682E-2</v>
      </c>
      <c r="W139" s="21">
        <v>1.1930652399999999</v>
      </c>
      <c r="X139" s="21">
        <f t="shared" ref="X139:X145" si="127">W139/$B139*100</f>
        <v>7.7048324137845587E-3</v>
      </c>
      <c r="Y139" s="33">
        <f>B139-C139-E139-G139-I139-K139-M139-W139-O139-Q139-U139-AA139-AC139-AE139-AG139</f>
        <v>222.89319672000011</v>
      </c>
      <c r="Z139" s="21">
        <f t="shared" ref="Z139:Z145" si="128">Y139/$B139*100</f>
        <v>1.4394474579615739</v>
      </c>
      <c r="AA139" s="34">
        <v>491.23061971000004</v>
      </c>
      <c r="AB139" s="34">
        <f t="shared" ref="AB139:AB145" si="129">AA139/B139*100</f>
        <v>3.1723743802854276</v>
      </c>
      <c r="AC139" s="38">
        <v>36.662709500000005</v>
      </c>
      <c r="AD139" s="34">
        <f t="shared" ref="AD139:AD145" si="130">AC139/$B139*100</f>
        <v>0.23676830324280265</v>
      </c>
      <c r="AE139" s="34">
        <v>2.7380726100000001</v>
      </c>
      <c r="AF139" s="34">
        <f t="shared" ref="AF139:AF145" si="131">AE139/$B139*100</f>
        <v>1.7682512145625572E-2</v>
      </c>
      <c r="AG139" s="34">
        <v>18.419429489999999</v>
      </c>
      <c r="AH139" s="34">
        <f t="shared" ref="AH139:AH145" si="132">AG139/$B139*100</f>
        <v>0.11895293955422855</v>
      </c>
      <c r="AI139" s="21">
        <v>305.21378427000002</v>
      </c>
    </row>
    <row r="140" spans="1:35" x14ac:dyDescent="0.25">
      <c r="A140" s="29" t="s">
        <v>51</v>
      </c>
      <c r="B140" s="21">
        <v>15616.299975899998</v>
      </c>
      <c r="C140" s="21">
        <v>831.63941404000002</v>
      </c>
      <c r="D140" s="21">
        <f t="shared" si="117"/>
        <v>5.3254574727908368</v>
      </c>
      <c r="E140" s="21">
        <v>2240.5184552599999</v>
      </c>
      <c r="F140" s="21">
        <f t="shared" si="118"/>
        <v>14.347306716172852</v>
      </c>
      <c r="G140" s="21">
        <v>285.47473897999998</v>
      </c>
      <c r="H140" s="21">
        <f t="shared" si="119"/>
        <v>1.8280561939804023</v>
      </c>
      <c r="I140" s="21">
        <v>734.24552145000007</v>
      </c>
      <c r="J140" s="21">
        <f t="shared" si="120"/>
        <v>4.7017893008147347</v>
      </c>
      <c r="K140" s="21">
        <v>2056.6886312900001</v>
      </c>
      <c r="L140" s="21">
        <f t="shared" si="121"/>
        <v>13.17014039474142</v>
      </c>
      <c r="M140" s="21">
        <v>1801.4803269099998</v>
      </c>
      <c r="N140" s="21">
        <f t="shared" si="122"/>
        <v>11.535897297632291</v>
      </c>
      <c r="O140" s="21">
        <v>529.5908810200001</v>
      </c>
      <c r="P140" s="21">
        <f t="shared" si="123"/>
        <v>3.3912699028405977</v>
      </c>
      <c r="Q140" s="21">
        <v>6379.7593546600001</v>
      </c>
      <c r="R140" s="21">
        <f t="shared" si="124"/>
        <v>40.853206998492752</v>
      </c>
      <c r="S140" s="21">
        <v>892.35620302999996</v>
      </c>
      <c r="T140" s="21">
        <f t="shared" si="125"/>
        <v>5.7142614089581851</v>
      </c>
      <c r="U140" s="21">
        <v>6.8916508399999996</v>
      </c>
      <c r="V140" s="21">
        <f t="shared" si="126"/>
        <v>4.4131137661517807E-2</v>
      </c>
      <c r="W140" s="21">
        <v>1.19001712</v>
      </c>
      <c r="X140" s="21">
        <f t="shared" si="127"/>
        <v>7.6203525920769018E-3</v>
      </c>
      <c r="Y140" s="33">
        <f>B140-C140-E140-G140-I140-K140-M140-W140-O140-Q140-U140-AA140-AC140-AE140-AG140</f>
        <v>221.98200203999619</v>
      </c>
      <c r="Z140" s="21">
        <f t="shared" si="128"/>
        <v>1.4214762932485416</v>
      </c>
      <c r="AA140" s="34">
        <v>476.70926874000003</v>
      </c>
      <c r="AB140" s="34">
        <f t="shared" si="129"/>
        <v>3.0526390340585552</v>
      </c>
      <c r="AC140" s="38">
        <v>36.51305722</v>
      </c>
      <c r="AD140" s="34">
        <f t="shared" si="130"/>
        <v>0.2338137540668988</v>
      </c>
      <c r="AE140" s="34">
        <v>2.3936313</v>
      </c>
      <c r="AF140" s="34">
        <f t="shared" si="131"/>
        <v>1.5327774848677304E-2</v>
      </c>
      <c r="AG140" s="34">
        <v>11.223025030000001</v>
      </c>
      <c r="AH140" s="34">
        <f t="shared" si="132"/>
        <v>7.1867376057837259E-2</v>
      </c>
      <c r="AI140" s="21">
        <v>303.65052729000001</v>
      </c>
    </row>
    <row r="141" spans="1:35" x14ac:dyDescent="0.25">
      <c r="A141" s="29" t="s">
        <v>52</v>
      </c>
      <c r="B141" s="21">
        <v>15889.520084209997</v>
      </c>
      <c r="C141" s="21">
        <v>853.67276348999997</v>
      </c>
      <c r="D141" s="21">
        <f t="shared" si="117"/>
        <v>5.3725522165916519</v>
      </c>
      <c r="E141" s="21">
        <v>2272.7847520199994</v>
      </c>
      <c r="F141" s="21">
        <f t="shared" si="118"/>
        <v>14.303671476387445</v>
      </c>
      <c r="G141" s="21">
        <v>286.90937102000004</v>
      </c>
      <c r="H141" s="21">
        <f t="shared" si="119"/>
        <v>1.8056515835560856</v>
      </c>
      <c r="I141" s="21">
        <v>741.52868523999996</v>
      </c>
      <c r="J141" s="21">
        <f t="shared" si="120"/>
        <v>4.6667783627831803</v>
      </c>
      <c r="K141" s="21">
        <v>2095.8886429400004</v>
      </c>
      <c r="L141" s="21">
        <f t="shared" si="121"/>
        <v>13.190383547346798</v>
      </c>
      <c r="M141" s="21">
        <v>1830.6190634100003</v>
      </c>
      <c r="N141" s="21">
        <f t="shared" si="122"/>
        <v>11.520921045495603</v>
      </c>
      <c r="O141" s="21">
        <v>579.24930182000003</v>
      </c>
      <c r="P141" s="21">
        <f t="shared" si="123"/>
        <v>3.6454801576771438</v>
      </c>
      <c r="Q141" s="21">
        <v>6458.5261940099999</v>
      </c>
      <c r="R141" s="21">
        <f t="shared" si="124"/>
        <v>40.646452251431278</v>
      </c>
      <c r="S141" s="21">
        <v>905.98644000000002</v>
      </c>
      <c r="T141" s="21">
        <f t="shared" si="125"/>
        <v>5.7017860526845761</v>
      </c>
      <c r="U141" s="21">
        <v>5.4934849100000003</v>
      </c>
      <c r="V141" s="21">
        <f t="shared" si="126"/>
        <v>3.4573007119699475E-2</v>
      </c>
      <c r="W141" s="21">
        <v>1.12545794</v>
      </c>
      <c r="X141" s="21">
        <f t="shared" si="127"/>
        <v>7.083020343190913E-3</v>
      </c>
      <c r="Y141" s="33">
        <f t="shared" ref="Y141:Y146" si="133">(B141-C141-E141-G141-I141-K141-M141-W141-O141-Q141-U141-AA141-AC141-AE141-AG141)</f>
        <v>226.08232766999598</v>
      </c>
      <c r="Z141" s="21">
        <f t="shared" si="128"/>
        <v>1.4228392454386483</v>
      </c>
      <c r="AA141" s="34">
        <v>482.70072324</v>
      </c>
      <c r="AB141" s="34">
        <f t="shared" si="129"/>
        <v>3.0378558992456766</v>
      </c>
      <c r="AC141" s="38">
        <v>36.602094449999996</v>
      </c>
      <c r="AD141" s="34">
        <f t="shared" si="130"/>
        <v>0.23035368126928418</v>
      </c>
      <c r="AE141" s="34">
        <v>2.3936313</v>
      </c>
      <c r="AF141" s="34">
        <f t="shared" si="131"/>
        <v>1.5064213942991518E-2</v>
      </c>
      <c r="AG141" s="34">
        <v>15.94359075</v>
      </c>
      <c r="AH141" s="34">
        <f t="shared" si="132"/>
        <v>0.10034029137131546</v>
      </c>
      <c r="AI141" s="21">
        <v>245.98465631000002</v>
      </c>
    </row>
    <row r="142" spans="1:35" x14ac:dyDescent="0.25">
      <c r="A142" s="29" t="s">
        <v>53</v>
      </c>
      <c r="B142" s="21">
        <v>16245.38347723</v>
      </c>
      <c r="C142" s="21">
        <v>895.62655746000007</v>
      </c>
      <c r="D142" s="21">
        <f t="shared" si="117"/>
        <v>5.5131142869932015</v>
      </c>
      <c r="E142" s="21">
        <v>2322.3744470799998</v>
      </c>
      <c r="F142" s="21">
        <f t="shared" si="118"/>
        <v>14.295596347941601</v>
      </c>
      <c r="G142" s="21">
        <v>259.00114403999999</v>
      </c>
      <c r="H142" s="21">
        <f t="shared" si="119"/>
        <v>1.5943061264329248</v>
      </c>
      <c r="I142" s="21">
        <v>750.46184493999999</v>
      </c>
      <c r="J142" s="21">
        <f t="shared" si="120"/>
        <v>4.6195391200944504</v>
      </c>
      <c r="K142" s="21">
        <v>2126.9968158900001</v>
      </c>
      <c r="L142" s="21">
        <f t="shared" si="121"/>
        <v>13.092930793977628</v>
      </c>
      <c r="M142" s="21">
        <v>1907.9842716100002</v>
      </c>
      <c r="N142" s="21">
        <f t="shared" si="122"/>
        <v>11.744778289070776</v>
      </c>
      <c r="O142" s="21">
        <v>586.28539974</v>
      </c>
      <c r="P142" s="21">
        <f t="shared" si="123"/>
        <v>3.6089354280971859</v>
      </c>
      <c r="Q142" s="21">
        <v>6610.9446204400001</v>
      </c>
      <c r="R142" s="21">
        <f t="shared" si="124"/>
        <v>40.694297119585336</v>
      </c>
      <c r="S142" s="21">
        <v>964.9</v>
      </c>
      <c r="T142" s="21">
        <f t="shared" si="125"/>
        <v>5.9395335379582255</v>
      </c>
      <c r="U142" s="21">
        <v>5.3994503999999992</v>
      </c>
      <c r="V142" s="21">
        <f t="shared" si="126"/>
        <v>3.3236829451074673E-2</v>
      </c>
      <c r="W142" s="21">
        <v>1.2462017999999999</v>
      </c>
      <c r="X142" s="21">
        <f t="shared" si="127"/>
        <v>7.6711134689231098E-3</v>
      </c>
      <c r="Y142" s="33">
        <f t="shared" si="133"/>
        <v>233.13813172999969</v>
      </c>
      <c r="Z142" s="21">
        <f t="shared" si="128"/>
        <v>1.4351038992509648</v>
      </c>
      <c r="AA142" s="34">
        <v>489.91766695999996</v>
      </c>
      <c r="AB142" s="34">
        <f t="shared" si="129"/>
        <v>3.0157347017796337</v>
      </c>
      <c r="AC142" s="38">
        <v>36.694104939999995</v>
      </c>
      <c r="AD142" s="34">
        <f t="shared" si="130"/>
        <v>0.22587404594930932</v>
      </c>
      <c r="AE142" s="34">
        <v>2.74990706</v>
      </c>
      <c r="AF142" s="34">
        <f t="shared" si="131"/>
        <v>1.6927313928011299E-2</v>
      </c>
      <c r="AG142" s="34">
        <v>16.562913139999999</v>
      </c>
      <c r="AH142" s="34">
        <f t="shared" si="132"/>
        <v>0.1019545839789812</v>
      </c>
      <c r="AI142" s="21">
        <v>267.56454780000001</v>
      </c>
    </row>
    <row r="143" spans="1:35" x14ac:dyDescent="0.25">
      <c r="A143" s="29" t="s">
        <v>54</v>
      </c>
      <c r="B143" s="21">
        <v>16595.366183030001</v>
      </c>
      <c r="C143" s="21">
        <v>904.99897122999982</v>
      </c>
      <c r="D143" s="21">
        <f t="shared" si="117"/>
        <v>5.4533233027146384</v>
      </c>
      <c r="E143" s="21">
        <v>2385.7514344700003</v>
      </c>
      <c r="F143" s="21">
        <f t="shared" si="118"/>
        <v>14.376009593024882</v>
      </c>
      <c r="G143" s="21">
        <v>296.24575742000002</v>
      </c>
      <c r="H143" s="21">
        <f t="shared" si="119"/>
        <v>1.7851113024726952</v>
      </c>
      <c r="I143" s="21">
        <v>757.7247384399999</v>
      </c>
      <c r="J143" s="21">
        <f t="shared" si="120"/>
        <v>4.5658814037790254</v>
      </c>
      <c r="K143" s="21">
        <v>2208.16883194</v>
      </c>
      <c r="L143" s="21">
        <f t="shared" si="121"/>
        <v>13.305936172701132</v>
      </c>
      <c r="M143" s="21">
        <v>1925.2843710400002</v>
      </c>
      <c r="N143" s="21">
        <f t="shared" si="122"/>
        <v>11.601337082930698</v>
      </c>
      <c r="O143" s="21">
        <v>581.96836254000004</v>
      </c>
      <c r="P143" s="21">
        <f t="shared" si="123"/>
        <v>3.506812420536439</v>
      </c>
      <c r="Q143" s="21">
        <v>6741.6080928900001</v>
      </c>
      <c r="R143" s="21">
        <f t="shared" si="124"/>
        <v>40.623436798784212</v>
      </c>
      <c r="S143" s="21">
        <v>966.85728348999999</v>
      </c>
      <c r="T143" s="21">
        <f t="shared" si="125"/>
        <v>5.8260677879990599</v>
      </c>
      <c r="U143" s="21">
        <v>5.2330883300000002</v>
      </c>
      <c r="V143" s="21">
        <f t="shared" si="126"/>
        <v>3.1533430912487025E-2</v>
      </c>
      <c r="W143" s="21">
        <v>1.35368723</v>
      </c>
      <c r="X143" s="21">
        <f t="shared" si="127"/>
        <v>8.1570193454619036E-3</v>
      </c>
      <c r="Y143" s="33">
        <f t="shared" si="133"/>
        <v>230.43928342999985</v>
      </c>
      <c r="Z143" s="21">
        <f t="shared" si="128"/>
        <v>1.3885760692984357</v>
      </c>
      <c r="AA143" s="34">
        <v>490.18038116000002</v>
      </c>
      <c r="AB143" s="34">
        <f t="shared" si="129"/>
        <v>2.9537183799008062</v>
      </c>
      <c r="AC143" s="38">
        <v>51.966357940000002</v>
      </c>
      <c r="AD143" s="34">
        <f t="shared" si="130"/>
        <v>0.31313776006424898</v>
      </c>
      <c r="AE143" s="34">
        <v>2.4020221699999995</v>
      </c>
      <c r="AF143" s="34">
        <f t="shared" si="131"/>
        <v>1.447405344062999E-2</v>
      </c>
      <c r="AG143" s="34">
        <v>12.040802800000002</v>
      </c>
      <c r="AH143" s="34">
        <f t="shared" si="132"/>
        <v>7.2555210094204611E-2</v>
      </c>
      <c r="AI143" s="21">
        <v>258.79788396000004</v>
      </c>
    </row>
    <row r="144" spans="1:35" x14ac:dyDescent="0.25">
      <c r="A144" s="29" t="s">
        <v>55</v>
      </c>
      <c r="B144" s="21">
        <v>16754.79692809</v>
      </c>
      <c r="C144" s="21">
        <v>877.58034430999999</v>
      </c>
      <c r="D144" s="21">
        <f t="shared" si="117"/>
        <v>5.2377856208970579</v>
      </c>
      <c r="E144" s="21">
        <v>2428.9534896400005</v>
      </c>
      <c r="F144" s="21">
        <f t="shared" si="118"/>
        <v>14.497063139976202</v>
      </c>
      <c r="G144" s="21">
        <v>225.39464316999999</v>
      </c>
      <c r="H144" s="21">
        <f t="shared" si="119"/>
        <v>1.3452544016938697</v>
      </c>
      <c r="I144" s="21">
        <v>762.08303434999982</v>
      </c>
      <c r="J144" s="21">
        <f t="shared" si="120"/>
        <v>4.5484468574628982</v>
      </c>
      <c r="K144" s="21">
        <v>2283.0680627799998</v>
      </c>
      <c r="L144" s="21">
        <f t="shared" si="121"/>
        <v>13.626354724433314</v>
      </c>
      <c r="M144" s="21">
        <v>1965.7615578500004</v>
      </c>
      <c r="N144" s="21">
        <f t="shared" si="122"/>
        <v>11.73252989151025</v>
      </c>
      <c r="O144" s="21">
        <v>586.77895809999995</v>
      </c>
      <c r="P144" s="21">
        <f t="shared" si="123"/>
        <v>3.5021549984664073</v>
      </c>
      <c r="Q144" s="21">
        <v>6819.8936529100001</v>
      </c>
      <c r="R144" s="21">
        <f t="shared" si="124"/>
        <v>40.704126001528621</v>
      </c>
      <c r="S144" s="21">
        <v>956.38800000000003</v>
      </c>
      <c r="T144" s="21">
        <f t="shared" si="125"/>
        <v>5.7081443845886444</v>
      </c>
      <c r="U144" s="21">
        <v>5.0596408800000008</v>
      </c>
      <c r="V144" s="21">
        <f t="shared" si="126"/>
        <v>3.0198162960228644E-2</v>
      </c>
      <c r="W144" s="21">
        <v>1.4256672500000001</v>
      </c>
      <c r="X144" s="21">
        <f t="shared" si="127"/>
        <v>8.5090094264874041E-3</v>
      </c>
      <c r="Y144" s="33">
        <f t="shared" si="133"/>
        <v>228.98278829999995</v>
      </c>
      <c r="Z144" s="21">
        <f t="shared" si="128"/>
        <v>1.3666700305755561</v>
      </c>
      <c r="AA144" s="21">
        <v>502.67597662000003</v>
      </c>
      <c r="AB144" s="34">
        <f t="shared" si="129"/>
        <v>3.0001914005728487</v>
      </c>
      <c r="AC144" s="38">
        <v>51.829226809999994</v>
      </c>
      <c r="AD144" s="34">
        <f t="shared" si="130"/>
        <v>0.30933962991283104</v>
      </c>
      <c r="AE144" s="21">
        <v>2.87043304</v>
      </c>
      <c r="AF144" s="34">
        <f t="shared" si="131"/>
        <v>1.713200734285009E-2</v>
      </c>
      <c r="AG144" s="21">
        <v>12.439452080000002</v>
      </c>
      <c r="AH144" s="34">
        <f t="shared" si="132"/>
        <v>7.4244123240579718E-2</v>
      </c>
      <c r="AI144" s="21">
        <v>254.16555510000001</v>
      </c>
    </row>
    <row r="145" spans="1:35" x14ac:dyDescent="0.25">
      <c r="A145" s="29" t="s">
        <v>56</v>
      </c>
      <c r="B145" s="21">
        <v>17034.049879450002</v>
      </c>
      <c r="C145" s="21">
        <v>900.08802919000004</v>
      </c>
      <c r="D145" s="21">
        <f t="shared" si="117"/>
        <v>5.2840518582481826</v>
      </c>
      <c r="E145" s="21">
        <v>2458.8127755099999</v>
      </c>
      <c r="F145" s="21">
        <f t="shared" si="118"/>
        <v>14.434692823556475</v>
      </c>
      <c r="G145" s="21">
        <f>223129.60716/1000</f>
        <v>223.12960716000001</v>
      </c>
      <c r="H145" s="21">
        <f t="shared" si="119"/>
        <v>1.3099034506713823</v>
      </c>
      <c r="I145" s="21">
        <v>761.99774221000007</v>
      </c>
      <c r="J145" s="21">
        <f t="shared" si="120"/>
        <v>4.4733797752305486</v>
      </c>
      <c r="K145" s="21">
        <f>2313929.87387/1000</f>
        <v>2313.9298738699999</v>
      </c>
      <c r="L145" s="21">
        <f t="shared" si="121"/>
        <v>13.584144054089812</v>
      </c>
      <c r="M145" s="21">
        <f>1994848.36003/1000</f>
        <v>1994.8483600300001</v>
      </c>
      <c r="N145" s="21">
        <f t="shared" si="122"/>
        <v>11.710945865179127</v>
      </c>
      <c r="O145" s="21">
        <f>578714.3735/1000</f>
        <v>578.71437349999997</v>
      </c>
      <c r="P145" s="21">
        <f t="shared" si="123"/>
        <v>3.3973974339370994</v>
      </c>
      <c r="Q145" s="21">
        <v>6986.0843993799999</v>
      </c>
      <c r="R145" s="21">
        <f t="shared" si="124"/>
        <v>41.012468842233822</v>
      </c>
      <c r="S145" s="21">
        <v>999.6</v>
      </c>
      <c r="T145" s="21">
        <f t="shared" si="125"/>
        <v>5.8682462894858869</v>
      </c>
      <c r="U145" s="21">
        <v>5.1133664300000001</v>
      </c>
      <c r="V145" s="21">
        <f t="shared" si="126"/>
        <v>3.001850098002121E-2</v>
      </c>
      <c r="W145" s="21">
        <v>0.92587111</v>
      </c>
      <c r="X145" s="21">
        <f t="shared" si="127"/>
        <v>5.4354138713482193E-3</v>
      </c>
      <c r="Y145" s="33">
        <f t="shared" si="133"/>
        <v>231.75069992000235</v>
      </c>
      <c r="Z145" s="21">
        <f t="shared" si="128"/>
        <v>1.3605143906475703</v>
      </c>
      <c r="AA145" s="21">
        <v>511.39461345000001</v>
      </c>
      <c r="AB145" s="34">
        <f t="shared" si="129"/>
        <v>3.0021904190086359</v>
      </c>
      <c r="AC145" s="38">
        <f>51313.25058/1000</f>
        <v>51.313250580000002</v>
      </c>
      <c r="AD145" s="34">
        <f t="shared" si="130"/>
        <v>0.30123928803275768</v>
      </c>
      <c r="AE145" s="21">
        <f>2614.91313/1000</f>
        <v>2.6149131299999997</v>
      </c>
      <c r="AF145" s="34">
        <f t="shared" si="131"/>
        <v>1.5351094710334561E-2</v>
      </c>
      <c r="AG145" s="21">
        <f>13332.00398/1000</f>
        <v>13.33200398</v>
      </c>
      <c r="AH145" s="34">
        <f t="shared" si="132"/>
        <v>7.826678960288723E-2</v>
      </c>
      <c r="AI145" s="21">
        <f>254653.32894/1000</f>
        <v>254.65332893999999</v>
      </c>
    </row>
    <row r="146" spans="1:35" x14ac:dyDescent="0.25">
      <c r="A146" s="29" t="s">
        <v>57</v>
      </c>
      <c r="B146" s="21">
        <v>17308.94879876</v>
      </c>
      <c r="C146" s="21">
        <v>938.76556100999994</v>
      </c>
      <c r="D146" s="21">
        <f>C146/$B146*100</f>
        <v>5.4235850595228081</v>
      </c>
      <c r="E146" s="21">
        <v>2488.9409999999998</v>
      </c>
      <c r="F146" s="21">
        <f>E146/$B146*100</f>
        <v>14.379504087378811</v>
      </c>
      <c r="G146" s="21">
        <v>225.12130082000002</v>
      </c>
      <c r="H146" s="21">
        <f>G146/$B146*100</f>
        <v>1.3006064287169625</v>
      </c>
      <c r="I146" s="21">
        <v>786.37863798000012</v>
      </c>
      <c r="J146" s="21">
        <f>I146/$B146*100</f>
        <v>4.5431911961998273</v>
      </c>
      <c r="K146" s="21">
        <v>2364.3811294899997</v>
      </c>
      <c r="L146" s="21">
        <f>K146/$B146*100</f>
        <v>13.659877078493537</v>
      </c>
      <c r="M146" s="21">
        <v>2008.4568079000001</v>
      </c>
      <c r="N146" s="21">
        <f>M146/$B146*100</f>
        <v>11.603574724560307</v>
      </c>
      <c r="O146" s="21">
        <v>586.53495371999998</v>
      </c>
      <c r="P146" s="21">
        <f>O146/$B146*100</f>
        <v>3.3886226167704585</v>
      </c>
      <c r="Q146" s="21">
        <v>7102.8943497299997</v>
      </c>
      <c r="R146" s="21">
        <f>Q146/$B146*100</f>
        <v>41.035966033008577</v>
      </c>
      <c r="S146" s="21">
        <v>1052.65997567</v>
      </c>
      <c r="T146" s="21">
        <f t="shared" si="125"/>
        <v>6.081593907917803</v>
      </c>
      <c r="U146" s="21">
        <v>6.0558082899999999</v>
      </c>
      <c r="V146" s="21">
        <f>U146/$B146*100</f>
        <v>3.4986574634930073E-2</v>
      </c>
      <c r="W146" s="21">
        <v>0.94868229999999998</v>
      </c>
      <c r="X146" s="21">
        <f>W146/$B146*100</f>
        <v>5.4808776144046525E-3</v>
      </c>
      <c r="Y146" s="33">
        <f t="shared" si="133"/>
        <v>231.66898468000005</v>
      </c>
      <c r="Z146" s="21">
        <f>Y146/$B146*100</f>
        <v>1.338434744787024</v>
      </c>
      <c r="AA146" s="21">
        <v>500.77271932999997</v>
      </c>
      <c r="AB146" s="34">
        <f>AA146/B146*100</f>
        <v>2.8931434551697035</v>
      </c>
      <c r="AC146" s="38">
        <v>51.327101260000006</v>
      </c>
      <c r="AD146" s="34">
        <f>AC146/$B146*100</f>
        <v>0.296535057424614</v>
      </c>
      <c r="AE146" s="21">
        <v>2.8451939700000004</v>
      </c>
      <c r="AF146" s="34">
        <f>AE146/$B146*100</f>
        <v>1.6437705160950201E-2</v>
      </c>
      <c r="AG146" s="21">
        <v>13.856568279999998</v>
      </c>
      <c r="AH146" s="34">
        <f>AG146/$B146*100</f>
        <v>8.0054360557081719E-2</v>
      </c>
      <c r="AI146" s="21">
        <v>250.96828408999994</v>
      </c>
    </row>
    <row r="147" spans="1:35" x14ac:dyDescent="0.25">
      <c r="A147" s="29" t="s">
        <v>58</v>
      </c>
      <c r="B147" s="21">
        <v>17631.590882649998</v>
      </c>
      <c r="C147" s="21">
        <v>973.18827784999996</v>
      </c>
      <c r="D147" s="21">
        <f>C147/$B147*100</f>
        <v>5.5195715708651436</v>
      </c>
      <c r="E147" s="21">
        <v>2536.2709621899999</v>
      </c>
      <c r="F147" s="21">
        <f>E147/$B147*100</f>
        <v>14.384810645111809</v>
      </c>
      <c r="G147" s="21">
        <v>221.01918049000002</v>
      </c>
      <c r="H147" s="21">
        <f>G147/$B147*100</f>
        <v>1.2535407721346881</v>
      </c>
      <c r="I147" s="21">
        <v>807.63148792000004</v>
      </c>
      <c r="J147" s="21">
        <f>I147/$B147*100</f>
        <v>4.5805933979260667</v>
      </c>
      <c r="K147" s="21">
        <v>2434.1500243500004</v>
      </c>
      <c r="L147" s="21">
        <f>K147/$B147*100</f>
        <v>13.805617658388813</v>
      </c>
      <c r="M147" s="21">
        <v>2021.0187138399999</v>
      </c>
      <c r="N147" s="21">
        <f>M147/$B147*100</f>
        <v>11.462486438638624</v>
      </c>
      <c r="O147" s="21">
        <v>582.64030193000008</v>
      </c>
      <c r="P147" s="21">
        <f>O147/$B147*100</f>
        <v>3.3045248486529664</v>
      </c>
      <c r="Q147" s="21">
        <v>7253.4306631600002</v>
      </c>
      <c r="R147" s="21">
        <f>Q147/$B147*100</f>
        <v>41.138832629661273</v>
      </c>
      <c r="S147" s="21">
        <v>999.72762999999998</v>
      </c>
      <c r="T147" s="21">
        <f t="shared" si="125"/>
        <v>5.6700931677342927</v>
      </c>
      <c r="U147" s="21">
        <v>6.6587045800000002</v>
      </c>
      <c r="V147" s="21">
        <f>U147/$B147*100</f>
        <v>3.7765761605507535E-2</v>
      </c>
      <c r="W147" s="21">
        <v>0.84865578999999991</v>
      </c>
      <c r="X147" s="21">
        <f>W147/$B147*100</f>
        <v>4.8132683865475916E-3</v>
      </c>
      <c r="Y147" s="33">
        <f>(B147-C147-E147-G147-I147-K147-M147-W147-O147-Q147-U147-AA147-AC147-AE147-AG147)</f>
        <v>228.62649264999931</v>
      </c>
      <c r="Z147" s="21">
        <f>Y147/$B147*100</f>
        <v>1.2966866924922498</v>
      </c>
      <c r="AA147" s="21">
        <v>499.71057367000003</v>
      </c>
      <c r="AB147" s="34">
        <f>AA147/B147*100</f>
        <v>2.8341774545241396</v>
      </c>
      <c r="AC147" s="38">
        <v>49.246803500000006</v>
      </c>
      <c r="AD147" s="34">
        <f>AC147/$B147*100</f>
        <v>0.2793100397336255</v>
      </c>
      <c r="AE147" s="21">
        <v>2.7120525600000001</v>
      </c>
      <c r="AF147" s="34">
        <f>AE147/$B147*100</f>
        <v>1.5381780226472581E-2</v>
      </c>
      <c r="AG147" s="21">
        <v>14.437988170000001</v>
      </c>
      <c r="AH147" s="34">
        <f>AG147/$B147*100</f>
        <v>8.1887041652080328E-2</v>
      </c>
      <c r="AI147" s="21">
        <v>222.15841217999997</v>
      </c>
    </row>
    <row r="148" spans="1:35" x14ac:dyDescent="0.25">
      <c r="A148" s="29" t="s">
        <v>59</v>
      </c>
      <c r="B148" s="21">
        <v>17841.51790323</v>
      </c>
      <c r="C148" s="21">
        <v>943.38504892999993</v>
      </c>
      <c r="D148" s="21">
        <f>C148/$B148*100</f>
        <v>5.2875828953948529</v>
      </c>
      <c r="E148" s="21">
        <v>2540.7471608800001</v>
      </c>
      <c r="F148" s="21">
        <f>E148/$B148*100</f>
        <v>14.240644628224302</v>
      </c>
      <c r="G148" s="21">
        <v>220.61761913000001</v>
      </c>
      <c r="H148" s="21">
        <f>G148/$B148*100</f>
        <v>1.2365406369940066</v>
      </c>
      <c r="I148" s="21">
        <v>817.67782260000013</v>
      </c>
      <c r="J148" s="21">
        <f>I148/$B148*100</f>
        <v>4.5830059249161144</v>
      </c>
      <c r="K148" s="21">
        <v>2461.5514212900002</v>
      </c>
      <c r="L148" s="21">
        <f>K148/$B148*100</f>
        <v>13.796760088693826</v>
      </c>
      <c r="M148" s="21">
        <v>2078.34941669</v>
      </c>
      <c r="N148" s="21">
        <f>M148/$B148*100</f>
        <v>11.64894953424192</v>
      </c>
      <c r="O148" s="21">
        <v>569.07431792000011</v>
      </c>
      <c r="P148" s="21">
        <f>O148/$B148*100</f>
        <v>3.1896070783135317</v>
      </c>
      <c r="Q148" s="21">
        <v>7383.8061048999998</v>
      </c>
      <c r="R148" s="21">
        <f>Q148/$B148*100</f>
        <v>41.385526416243138</v>
      </c>
      <c r="S148" s="21">
        <v>1038.2306899999999</v>
      </c>
      <c r="T148" s="21">
        <f t="shared" si="125"/>
        <v>5.8191836346617132</v>
      </c>
      <c r="U148" s="21">
        <v>4.4869262299999999</v>
      </c>
      <c r="V148" s="21">
        <f>U148/$B148*100</f>
        <v>2.514879201610808E-2</v>
      </c>
      <c r="W148" s="21">
        <v>0.74765939999999997</v>
      </c>
      <c r="X148" s="21">
        <f>W148/$B148*100</f>
        <v>4.1905593686322219E-3</v>
      </c>
      <c r="Y148" s="33">
        <f>(B148-C148-E148-G148-I148-K148-M148-W148-O148-Q148-U148-AA148-AC148-AE148-AG148)</f>
        <v>250.07682169000105</v>
      </c>
      <c r="Z148" s="21">
        <f>Y148/$B148*100</f>
        <v>1.4016566474129846</v>
      </c>
      <c r="AA148" s="21">
        <v>489.23945638999999</v>
      </c>
      <c r="AB148" s="34">
        <f>AA148/B148*100</f>
        <v>2.7421403214881668</v>
      </c>
      <c r="AC148" s="38">
        <v>48.494692980000011</v>
      </c>
      <c r="AD148" s="34">
        <f>AC148/$B148*100</f>
        <v>0.2718081120845699</v>
      </c>
      <c r="AE148" s="21">
        <v>7.9030472100000004</v>
      </c>
      <c r="AF148" s="34">
        <f>AE148/$B148*100</f>
        <v>4.429582310689633E-2</v>
      </c>
      <c r="AG148" s="21">
        <v>25.360386989999999</v>
      </c>
      <c r="AH148" s="34">
        <f>AG148/$B148*100</f>
        <v>0.14214254150096048</v>
      </c>
      <c r="AI148" s="21">
        <v>233.43274164999997</v>
      </c>
    </row>
    <row r="149" spans="1:35" x14ac:dyDescent="0.25">
      <c r="A149" s="29" t="s">
        <v>60</v>
      </c>
      <c r="B149" s="21">
        <v>18151.94684099</v>
      </c>
      <c r="C149" s="21">
        <v>981.4749022100001</v>
      </c>
      <c r="D149" s="21">
        <v>5.4069952430318535</v>
      </c>
      <c r="E149" s="21">
        <v>2592.7559999999999</v>
      </c>
      <c r="F149" s="21">
        <v>14.280186476122502</v>
      </c>
      <c r="G149" s="21">
        <v>216.35558580999998</v>
      </c>
      <c r="H149" s="21">
        <v>1.1919139456790082</v>
      </c>
      <c r="I149" s="21">
        <v>837.10729665999986</v>
      </c>
      <c r="J149" s="21">
        <v>4.6116667484375711</v>
      </c>
      <c r="K149" s="21">
        <v>2513.5982263999999</v>
      </c>
      <c r="L149" s="21">
        <f>K149/B149*100</f>
        <v>13.847540698631249</v>
      </c>
      <c r="M149" s="21">
        <v>2066.6721560299998</v>
      </c>
      <c r="N149" s="21">
        <v>11.385402205801547</v>
      </c>
      <c r="O149" s="21">
        <v>562.82478220999997</v>
      </c>
      <c r="P149" s="21">
        <v>3.1006304014677455</v>
      </c>
      <c r="Q149" s="21">
        <v>7528.1104851799992</v>
      </c>
      <c r="R149" s="21">
        <f>Q149/B149*100</f>
        <v>41.47274422476999</v>
      </c>
      <c r="S149" s="21">
        <v>1161.95321962</v>
      </c>
      <c r="T149" s="21">
        <f t="shared" si="125"/>
        <v>6.4012594891261125</v>
      </c>
      <c r="U149" s="21">
        <v>5.7653859000000001</v>
      </c>
      <c r="V149" s="21">
        <v>3.1761804673098956E-11</v>
      </c>
      <c r="W149" s="21">
        <v>1.1203859</v>
      </c>
      <c r="X149" s="21">
        <v>6.172263007458734E-3</v>
      </c>
      <c r="Y149" s="33">
        <v>252.3699697500011</v>
      </c>
      <c r="Z149" s="21">
        <v>1.390319021759745</v>
      </c>
      <c r="AA149" s="21">
        <v>491.16000564999996</v>
      </c>
      <c r="AB149" s="34">
        <v>2.7058254960337482</v>
      </c>
      <c r="AC149" s="38">
        <v>61.769817610000004</v>
      </c>
      <c r="AD149" s="34">
        <v>0.35043169675175184</v>
      </c>
      <c r="AE149" s="21">
        <v>10.804561489999999</v>
      </c>
      <c r="AF149" s="34">
        <v>5.9522879747540752E-2</v>
      </c>
      <c r="AG149" s="21">
        <v>30.681422250000001</v>
      </c>
      <c r="AH149" s="34">
        <v>0.1690255184128043</v>
      </c>
      <c r="AI149" s="21">
        <v>252.30320652</v>
      </c>
    </row>
    <row r="150" spans="1:35" x14ac:dyDescent="0.25">
      <c r="A150" s="29" t="s">
        <v>61</v>
      </c>
      <c r="B150" s="21">
        <f>18542609.91501/1000</f>
        <v>18542.609915010002</v>
      </c>
      <c r="C150" s="21">
        <f>976324.47814/1000</f>
        <v>976.32447814</v>
      </c>
      <c r="D150" s="21">
        <f>C150/B150*100</f>
        <v>5.2653023636639089</v>
      </c>
      <c r="E150" s="21">
        <v>2680.7114317600003</v>
      </c>
      <c r="F150" s="21">
        <f>E150/B150*100</f>
        <v>14.457034063958812</v>
      </c>
      <c r="G150" s="21">
        <v>195.82566301</v>
      </c>
      <c r="H150" s="21">
        <f>G150/B150*100</f>
        <v>1.0560846822942744</v>
      </c>
      <c r="I150" s="21">
        <v>847.28370650000011</v>
      </c>
      <c r="J150" s="21">
        <f>I150/B150*100</f>
        <v>4.5693875370485735</v>
      </c>
      <c r="K150" s="21">
        <v>2555.06533481</v>
      </c>
      <c r="L150" s="21">
        <f>K150/B150*100</f>
        <v>13.779426663890003</v>
      </c>
      <c r="M150" s="21">
        <v>2027.84494105</v>
      </c>
      <c r="N150" s="21">
        <f>M150/B150*100</f>
        <v>10.936135475775101</v>
      </c>
      <c r="O150" s="21">
        <v>736.03862677000006</v>
      </c>
      <c r="P150" s="21">
        <f>O150/B150*100</f>
        <v>3.9694445935261049</v>
      </c>
      <c r="Q150" s="21">
        <v>7731.8495643100005</v>
      </c>
      <c r="R150" s="21">
        <v>44.015279110070509</v>
      </c>
      <c r="S150" s="21">
        <f>(1219057.21962/1000)</f>
        <v>1219.0572196200001</v>
      </c>
      <c r="T150" s="21">
        <f t="shared" si="125"/>
        <v>6.5743561732007807</v>
      </c>
      <c r="U150" s="21">
        <v>3.8811900599999998</v>
      </c>
      <c r="V150" s="21">
        <v>2.1541294463388434E-2</v>
      </c>
      <c r="W150" s="21">
        <v>0.92742879</v>
      </c>
      <c r="X150" s="21">
        <f>W150/$B150*100</f>
        <v>5.001608696137529E-3</v>
      </c>
      <c r="Y150" s="33">
        <f>((B150-C150-E150-G150-I150-K150-M150-W150-O150-Q150-U150-AA150-AC150-AE150-AG150))</f>
        <v>231.17891463000026</v>
      </c>
      <c r="Z150" s="21">
        <f>Y150/$B150*100</f>
        <v>1.2467442053174183</v>
      </c>
      <c r="AA150" s="21">
        <v>464.15112331</v>
      </c>
      <c r="AB150" s="34">
        <v>2.5761212071982955</v>
      </c>
      <c r="AC150" s="38">
        <v>61.545874310000002</v>
      </c>
      <c r="AD150" s="34">
        <v>0.34159053821713736</v>
      </c>
      <c r="AE150" s="21">
        <v>2.1905423500000003</v>
      </c>
      <c r="AF150" s="34">
        <f>AE150/$B150*100</f>
        <v>1.1813560011456559E-2</v>
      </c>
      <c r="AG150" s="21">
        <v>27.791095210000002</v>
      </c>
      <c r="AH150" s="34">
        <v>0.15424551648436249</v>
      </c>
      <c r="AI150" s="21">
        <f>274643.75506/1000</f>
        <v>274.64375505999999</v>
      </c>
    </row>
    <row r="151" spans="1:35" x14ac:dyDescent="0.25">
      <c r="A151" s="29" t="s">
        <v>68</v>
      </c>
      <c r="B151" s="35">
        <v>21730.445</v>
      </c>
      <c r="C151" s="40">
        <v>1508.4988000000001</v>
      </c>
      <c r="D151" s="35">
        <v>6.9</v>
      </c>
      <c r="E151" s="35">
        <v>3158.02423</v>
      </c>
      <c r="F151" s="35">
        <v>14.532717714708557</v>
      </c>
      <c r="G151" s="35">
        <v>316.54005999999998</v>
      </c>
      <c r="H151" s="35">
        <v>1.4566662578700069</v>
      </c>
      <c r="I151" s="35">
        <v>508.12902000000003</v>
      </c>
      <c r="J151" s="35">
        <v>2.3383277240756</v>
      </c>
      <c r="K151" s="35">
        <v>3063.1964199999998</v>
      </c>
      <c r="L151" s="35">
        <v>14.096335440898702</v>
      </c>
      <c r="M151" s="35">
        <v>1948.3333</v>
      </c>
      <c r="N151" s="35">
        <v>8.9659153321526546</v>
      </c>
      <c r="O151" s="35">
        <v>1465.58404</v>
      </c>
      <c r="P151" s="35">
        <v>6.7443811666074955</v>
      </c>
      <c r="Q151" s="35">
        <v>8383.6170999999995</v>
      </c>
      <c r="R151" s="35">
        <v>38.580052548394661</v>
      </c>
      <c r="S151" s="35">
        <v>1542.42472</v>
      </c>
      <c r="T151" s="35">
        <v>7.0979895717736108</v>
      </c>
      <c r="U151" s="35">
        <v>14.645200000000001</v>
      </c>
      <c r="V151" s="35">
        <v>6.7394846262927438E-2</v>
      </c>
      <c r="W151" s="35">
        <v>0.52739999999999998</v>
      </c>
      <c r="X151" s="35">
        <v>2.4270096631707266E-3</v>
      </c>
      <c r="Y151" s="36">
        <v>259.43742999999927</v>
      </c>
      <c r="Z151" s="35">
        <v>1.1938891725411021</v>
      </c>
      <c r="AA151" s="35">
        <v>934.58500000000004</v>
      </c>
      <c r="AB151" s="37">
        <v>4.3008093023405642</v>
      </c>
      <c r="AC151" s="39">
        <v>134.7662</v>
      </c>
      <c r="AD151" s="37">
        <v>0.6201722974379954</v>
      </c>
      <c r="AE151" s="35">
        <v>5.4794</v>
      </c>
      <c r="AF151" s="37">
        <v>2.5215314274512096E-2</v>
      </c>
      <c r="AG151" s="35">
        <v>29.081400000000002</v>
      </c>
      <c r="AH151" s="37">
        <v>0.13382790826418881</v>
      </c>
      <c r="AI151" s="35">
        <v>383.28996276000004</v>
      </c>
    </row>
    <row r="152" spans="1:35" x14ac:dyDescent="0.25">
      <c r="A152" s="29" t="s">
        <v>50</v>
      </c>
      <c r="B152" s="21">
        <v>18579.8</v>
      </c>
      <c r="C152" s="21">
        <v>1030.893</v>
      </c>
      <c r="D152" s="21">
        <f>C152/B152*100</f>
        <v>5.5484612320907658</v>
      </c>
      <c r="E152" s="21">
        <v>2649.1439999999998</v>
      </c>
      <c r="F152" s="21">
        <f>E152/B152*100</f>
        <v>14.258194383147288</v>
      </c>
      <c r="G152" s="21">
        <v>235.685</v>
      </c>
      <c r="H152" s="21">
        <f>G152/B152*100</f>
        <v>1.2685012755788545</v>
      </c>
      <c r="I152" s="21">
        <v>842.5</v>
      </c>
      <c r="J152" s="21">
        <f>I152/B152*100</f>
        <v>4.5344944509628737</v>
      </c>
      <c r="K152" s="21">
        <v>2548.0520000000001</v>
      </c>
      <c r="L152" s="21">
        <f>K152/B152*100</f>
        <v>13.714098106545819</v>
      </c>
      <c r="M152" s="21">
        <v>2007.09</v>
      </c>
      <c r="N152" s="21">
        <f>M152/B152*100</f>
        <v>10.802538240454687</v>
      </c>
      <c r="O152" s="21">
        <v>726.45799999999997</v>
      </c>
      <c r="P152" s="21">
        <f>O152/B152*100</f>
        <v>3.9099344449348221</v>
      </c>
      <c r="Q152" s="21">
        <v>7724.09</v>
      </c>
      <c r="R152" s="21">
        <v>44.015279110070509</v>
      </c>
      <c r="S152" s="21">
        <v>1217.606</v>
      </c>
      <c r="T152" s="21">
        <f>S152/$B152*100</f>
        <v>6.5533859352630275</v>
      </c>
      <c r="U152" s="21">
        <v>4.0570000000000004</v>
      </c>
      <c r="V152" s="21">
        <v>2.15412944633884E-2</v>
      </c>
      <c r="W152" s="21">
        <v>2.8856000000000002</v>
      </c>
      <c r="X152" s="21">
        <f>W152/$B152*100</f>
        <v>1.5530845326645068E-2</v>
      </c>
      <c r="Y152" s="33">
        <f>((B152-C152-E152-G152-I152-K152-M152-W152-O152-Q152-U152-AA152-AC152-AE152-AG152))</f>
        <v>233.12989999999942</v>
      </c>
      <c r="Z152" s="21">
        <f>Y152/$B152*100</f>
        <v>1.2547492438024059</v>
      </c>
      <c r="AA152" s="21">
        <v>485.74299999999999</v>
      </c>
      <c r="AB152" s="34">
        <f>AA152/B148*100</f>
        <v>2.7225430181142931</v>
      </c>
      <c r="AC152" s="38">
        <v>59.789000000000001</v>
      </c>
      <c r="AD152" s="34">
        <f>AC152/B148*100</f>
        <v>0.33511162180419579</v>
      </c>
      <c r="AE152" s="21">
        <v>2.1905000000000001</v>
      </c>
      <c r="AF152" s="34">
        <f>AE152/B148*100</f>
        <v>1.2277542818279129E-2</v>
      </c>
      <c r="AG152" s="21">
        <v>28.093</v>
      </c>
      <c r="AH152" s="34">
        <f>AG152/B148*100</f>
        <v>0.15745857584748485</v>
      </c>
      <c r="AI152" s="21">
        <v>310.14100000000002</v>
      </c>
    </row>
    <row r="153" spans="1:35" x14ac:dyDescent="0.25">
      <c r="A153" s="29" t="s">
        <v>51</v>
      </c>
      <c r="B153" s="21">
        <v>20697.2</v>
      </c>
      <c r="C153" s="21">
        <v>1138.2</v>
      </c>
      <c r="D153" s="21">
        <v>5.5</v>
      </c>
      <c r="E153" s="21">
        <v>2972.1709999999998</v>
      </c>
      <c r="F153" s="21">
        <f>E153/B153*100</f>
        <v>14.360256459810989</v>
      </c>
      <c r="G153" s="21">
        <v>269.39999999999998</v>
      </c>
      <c r="H153" s="21">
        <v>1.3</v>
      </c>
      <c r="I153" s="21">
        <v>936.4</v>
      </c>
      <c r="J153" s="21">
        <v>4.8</v>
      </c>
      <c r="K153" s="21">
        <v>2846.9</v>
      </c>
      <c r="L153" s="21">
        <v>14.6</v>
      </c>
      <c r="M153" s="21">
        <v>2248.1</v>
      </c>
      <c r="N153" s="21">
        <v>11.5</v>
      </c>
      <c r="O153" s="21">
        <v>831.8</v>
      </c>
      <c r="P153" s="21">
        <v>4.3</v>
      </c>
      <c r="Q153" s="21">
        <v>8416.7000000000007</v>
      </c>
      <c r="R153" s="21">
        <v>43</v>
      </c>
      <c r="S153" s="21">
        <v>1281.6690000000001</v>
      </c>
      <c r="T153" s="21">
        <f t="shared" ref="T153:T215" si="134">S153/$B153*100</f>
        <v>6.1924753106700425</v>
      </c>
      <c r="U153" s="21">
        <v>3.6</v>
      </c>
      <c r="V153" s="21">
        <v>0</v>
      </c>
      <c r="W153" s="21">
        <v>2.1</v>
      </c>
      <c r="X153" s="21">
        <f>W153/B153*100</f>
        <v>1.0146299982606343E-2</v>
      </c>
      <c r="Y153" s="33">
        <f>((B153-C153-E153-G153-I153-K153-M153-W153-O153-Q153-U153-AA153-AC153-AE153-AG153))</f>
        <v>253.27500000000202</v>
      </c>
      <c r="Z153" s="21">
        <f>Y153/B153*100</f>
        <v>1.223716251473639</v>
      </c>
      <c r="AA153" s="21">
        <v>668.5</v>
      </c>
      <c r="AB153" s="34">
        <f>AA153/B153*100</f>
        <v>3.2299054944630186</v>
      </c>
      <c r="AC153" s="38">
        <v>78.900000000000006</v>
      </c>
      <c r="AD153" s="34">
        <f>AC153/B153*100</f>
        <v>0.38121098506078116</v>
      </c>
      <c r="AE153" s="21">
        <v>1.954</v>
      </c>
      <c r="AF153" s="34">
        <f>AE153/B153*100</f>
        <v>9.4408905552441861E-3</v>
      </c>
      <c r="AG153" s="21">
        <v>29.2</v>
      </c>
      <c r="AH153" s="34">
        <f>AG153/B153*100</f>
        <v>0.14108188547243106</v>
      </c>
      <c r="AI153" s="21">
        <v>324.2</v>
      </c>
    </row>
    <row r="154" spans="1:35" x14ac:dyDescent="0.25">
      <c r="A154" s="29" t="s">
        <v>52</v>
      </c>
      <c r="B154" s="21">
        <v>20632.326099999998</v>
      </c>
      <c r="C154" s="21">
        <v>1213.3217</v>
      </c>
      <c r="D154" s="21">
        <f>C154/B154*100</f>
        <v>5.8806830316626302</v>
      </c>
      <c r="E154" s="21">
        <v>2948.2919999999999</v>
      </c>
      <c r="F154" s="21">
        <f>E154/B154*100</f>
        <v>14.289673329659133</v>
      </c>
      <c r="G154" s="21">
        <v>267.86500000000001</v>
      </c>
      <c r="H154" s="21">
        <f>G154/B154*100</f>
        <v>1.298278239214143</v>
      </c>
      <c r="I154" s="21">
        <v>932.27599999999995</v>
      </c>
      <c r="J154" s="21">
        <f>I154/B154*100</f>
        <v>4.5185210600175614</v>
      </c>
      <c r="K154" s="21">
        <v>2812.9870000000001</v>
      </c>
      <c r="L154" s="21">
        <f>K154/B154*100</f>
        <v>13.633882027485017</v>
      </c>
      <c r="M154" s="21">
        <v>2238.002</v>
      </c>
      <c r="N154" s="21">
        <f>M154/B154*100</f>
        <v>10.847065857494371</v>
      </c>
      <c r="O154" s="21">
        <v>866.09699999999998</v>
      </c>
      <c r="P154" s="21">
        <f>O154/B154*100</f>
        <v>4.1977671145862701</v>
      </c>
      <c r="Q154" s="21">
        <v>8296.6319999999996</v>
      </c>
      <c r="R154" s="21">
        <f>Q154/B154*100</f>
        <v>40.211811115180076</v>
      </c>
      <c r="S154" s="21">
        <v>1309.92363841</v>
      </c>
      <c r="T154" s="21">
        <f t="shared" si="134"/>
        <v>6.3488897570788208</v>
      </c>
      <c r="U154" s="21">
        <v>3.2515999999999998</v>
      </c>
      <c r="V154" s="21">
        <f>U154/B154*100</f>
        <v>1.5759735398908802E-2</v>
      </c>
      <c r="W154" s="21">
        <v>1.4785900000000001</v>
      </c>
      <c r="X154" s="21">
        <f>W154/B154*100</f>
        <v>7.1663756807333525E-3</v>
      </c>
      <c r="Y154" s="33">
        <f>((B154-C154-E154-G154-I154-K154-M154-W154-O154-Q154-U154-AA154-AC154-AE154-AG154))</f>
        <v>251.76590999999567</v>
      </c>
      <c r="Z154" s="21">
        <f>Y154/B154*100</f>
        <v>1.2202497613683785</v>
      </c>
      <c r="AA154" s="21">
        <v>684.98</v>
      </c>
      <c r="AB154" s="34">
        <f>AA154/B154*100</f>
        <v>3.3199358941888772</v>
      </c>
      <c r="AC154" s="38">
        <v>77.534999999999997</v>
      </c>
      <c r="AD154" s="34">
        <f>AC154/B154*100</f>
        <v>0.37579378895140675</v>
      </c>
      <c r="AE154" s="21">
        <v>1.9473</v>
      </c>
      <c r="AF154" s="34">
        <f>AE154/B154*100</f>
        <v>9.4381020858331638E-3</v>
      </c>
      <c r="AG154" s="21">
        <v>35.895000000000003</v>
      </c>
      <c r="AH154" s="34">
        <f>AG154/B154*100</f>
        <v>0.17397456702664274</v>
      </c>
      <c r="AI154" s="21">
        <v>324.7484</v>
      </c>
    </row>
    <row r="155" spans="1:35" x14ac:dyDescent="0.25">
      <c r="A155" s="29" t="s">
        <v>53</v>
      </c>
      <c r="B155" s="21">
        <v>20595.455099999999</v>
      </c>
      <c r="C155" s="21">
        <v>1256.6437000000001</v>
      </c>
      <c r="D155" s="21">
        <v>6.1015582996269897</v>
      </c>
      <c r="E155" s="21">
        <v>2960.788</v>
      </c>
      <c r="F155" s="21">
        <v>14.375928988332964</v>
      </c>
      <c r="G155" s="21">
        <v>268.51731999999998</v>
      </c>
      <c r="H155" s="21">
        <v>1.3037697817126654</v>
      </c>
      <c r="I155" s="21">
        <v>937.6</v>
      </c>
      <c r="J155" s="21">
        <v>4.5524607028470081</v>
      </c>
      <c r="K155" s="21">
        <v>2814.1419999999998</v>
      </c>
      <c r="L155" s="21">
        <v>13.663898109248384</v>
      </c>
      <c r="M155" s="21">
        <v>2210.9459999999999</v>
      </c>
      <c r="N155" s="21">
        <v>10.73511602081568</v>
      </c>
      <c r="O155" s="21">
        <v>871.72699999999998</v>
      </c>
      <c r="P155" s="21">
        <v>4.2326182925668876</v>
      </c>
      <c r="Q155" s="21">
        <v>8197.7289999999994</v>
      </c>
      <c r="R155" s="21">
        <v>39.803582684608898</v>
      </c>
      <c r="S155" s="21">
        <v>1337.9570000000001</v>
      </c>
      <c r="T155" s="21">
        <f t="shared" si="134"/>
        <v>6.4963701627549861</v>
      </c>
      <c r="U155" s="21">
        <v>3.0213999999999999</v>
      </c>
      <c r="V155" s="21">
        <v>1.4670226927881775E-2</v>
      </c>
      <c r="W155" s="21">
        <v>1.2611000000000001</v>
      </c>
      <c r="X155" s="21">
        <v>6.1231955976539711E-3</v>
      </c>
      <c r="Y155" s="33">
        <v>252.37037999999737</v>
      </c>
      <c r="Z155" s="21">
        <v>1.2253692806234584</v>
      </c>
      <c r="AA155" s="21">
        <v>710.28959999999995</v>
      </c>
      <c r="AB155" s="34">
        <v>3.4487686557603667</v>
      </c>
      <c r="AC155" s="38">
        <v>78.463200000000001</v>
      </c>
      <c r="AD155" s="34">
        <v>0.38097337310113633</v>
      </c>
      <c r="AE155" s="21">
        <v>2.2374999999999998</v>
      </c>
      <c r="AF155" s="34">
        <v>1.0864047379074425E-2</v>
      </c>
      <c r="AG155" s="21">
        <v>29.718900000000001</v>
      </c>
      <c r="AH155" s="34">
        <v>0.14429834085093854</v>
      </c>
      <c r="AI155" s="21">
        <v>291.18900000000002</v>
      </c>
    </row>
    <row r="156" spans="1:35" ht="14.25" customHeight="1" x14ac:dyDescent="0.25">
      <c r="A156" s="29" t="s">
        <v>54</v>
      </c>
      <c r="B156" s="21">
        <v>20468.142632049003</v>
      </c>
      <c r="C156" s="21">
        <v>1313.1534961799998</v>
      </c>
      <c r="D156" s="21">
        <v>6.4155967631565405</v>
      </c>
      <c r="E156" s="21">
        <v>2912.2218749300005</v>
      </c>
      <c r="F156" s="21">
        <v>14.228071043290688</v>
      </c>
      <c r="G156" s="21">
        <v>276.17991833000002</v>
      </c>
      <c r="H156" s="21">
        <v>1.3493159750487458</v>
      </c>
      <c r="I156" s="21">
        <v>935.05388563999986</v>
      </c>
      <c r="J156" s="21">
        <v>4.5683377453892327</v>
      </c>
      <c r="K156" s="21">
        <v>2814.7813252300002</v>
      </c>
      <c r="L156" s="21">
        <v>13.752011483556</v>
      </c>
      <c r="M156" s="21">
        <v>2182.7752435699999</v>
      </c>
      <c r="N156" s="21">
        <v>10.664256561082452</v>
      </c>
      <c r="O156" s="21">
        <v>890.88034559999983</v>
      </c>
      <c r="P156" s="21">
        <v>4.3525216802283762</v>
      </c>
      <c r="Q156" s="21">
        <v>8043.4394210500022</v>
      </c>
      <c r="R156" s="21">
        <v>39.297358659478903</v>
      </c>
      <c r="S156" s="21">
        <v>1355.1472900000001</v>
      </c>
      <c r="T156" s="21">
        <f t="shared" si="134"/>
        <v>6.6207633704785289</v>
      </c>
      <c r="U156" s="21">
        <v>2.8281185899999999</v>
      </c>
      <c r="V156" s="21">
        <v>1.381717257320522E-2</v>
      </c>
      <c r="W156" s="21">
        <v>1.5576477899999999</v>
      </c>
      <c r="X156" s="21">
        <v>7.6101081470921353E-3</v>
      </c>
      <c r="Y156" s="33">
        <v>252.64879403899923</v>
      </c>
      <c r="Z156" s="21">
        <v>1.2343513458001898</v>
      </c>
      <c r="AA156" s="21">
        <v>732.72840119000011</v>
      </c>
      <c r="AB156" s="34">
        <v>3.5798480319493891</v>
      </c>
      <c r="AC156" s="38">
        <v>78.150069049999985</v>
      </c>
      <c r="AD156" s="34">
        <v>0.38181319358031374</v>
      </c>
      <c r="AE156" s="21">
        <v>0.78658292000000007</v>
      </c>
      <c r="AF156" s="34">
        <v>3.8429618854051231E-3</v>
      </c>
      <c r="AG156" s="21">
        <v>30.957507939999999</v>
      </c>
      <c r="AH156" s="34">
        <v>0.15124727483346123</v>
      </c>
      <c r="AI156" s="21">
        <v>298.27274945000005</v>
      </c>
    </row>
    <row r="157" spans="1:35" ht="14.25" customHeight="1" x14ac:dyDescent="0.25">
      <c r="A157" s="29" t="s">
        <v>55</v>
      </c>
      <c r="B157" s="21">
        <v>20288.462762638999</v>
      </c>
      <c r="C157" s="21">
        <v>1338.66045882</v>
      </c>
      <c r="D157" s="21">
        <v>6.5981364605165158</v>
      </c>
      <c r="E157" s="21">
        <v>2888.8319757200002</v>
      </c>
      <c r="F157" s="21">
        <v>14.238791817385769</v>
      </c>
      <c r="G157" s="21">
        <v>280.23139501999998</v>
      </c>
      <c r="H157" s="21">
        <v>1.3812352286051128</v>
      </c>
      <c r="I157" s="21">
        <v>937.89442663</v>
      </c>
      <c r="J157" s="21">
        <v>4.6227968949777862</v>
      </c>
      <c r="K157" s="21">
        <v>2794.4671516899998</v>
      </c>
      <c r="L157" s="21">
        <v>13.773676125112758</v>
      </c>
      <c r="M157" s="21">
        <v>2172.1726600900006</v>
      </c>
      <c r="N157" s="21">
        <v>10.706442797085813</v>
      </c>
      <c r="O157" s="21">
        <v>894.92473717000007</v>
      </c>
      <c r="P157" s="21">
        <v>4.4110031777173129</v>
      </c>
      <c r="Q157" s="21">
        <v>7884.6195505300002</v>
      </c>
      <c r="R157" s="21">
        <v>38.862577430210479</v>
      </c>
      <c r="S157" s="21">
        <v>1363.3662099999999</v>
      </c>
      <c r="T157" s="21">
        <f t="shared" si="134"/>
        <v>6.7199088760466621</v>
      </c>
      <c r="U157" s="21">
        <v>12.54551142</v>
      </c>
      <c r="V157" s="21">
        <v>6.18356923674988E-2</v>
      </c>
      <c r="W157" s="21">
        <v>1.1164632400000001</v>
      </c>
      <c r="X157" s="21">
        <v>5.5029464433153409E-3</v>
      </c>
      <c r="Y157" s="33">
        <v>252.75951499899878</v>
      </c>
      <c r="Z157" s="21">
        <v>1.2458288139230187</v>
      </c>
      <c r="AA157" s="21">
        <v>724.25754331000007</v>
      </c>
      <c r="AB157" s="34">
        <v>3.5697999980743398</v>
      </c>
      <c r="AC157" s="38">
        <v>78.611222010000006</v>
      </c>
      <c r="AD157" s="34">
        <v>0.38746761117240375</v>
      </c>
      <c r="AE157" s="21">
        <v>1.0388636600000001</v>
      </c>
      <c r="AF157" s="34">
        <v>5.1204651242136353E-3</v>
      </c>
      <c r="AG157" s="21">
        <v>26.33128833</v>
      </c>
      <c r="AH157" s="34">
        <v>0.12978454128367381</v>
      </c>
      <c r="AI157" s="21">
        <v>324.08155119000003</v>
      </c>
    </row>
    <row r="158" spans="1:35" ht="14.25" customHeight="1" x14ac:dyDescent="0.25">
      <c r="A158" s="29" t="s">
        <v>56</v>
      </c>
      <c r="B158" s="21">
        <v>20187.489584469764</v>
      </c>
      <c r="C158" s="21">
        <v>1294.8200580000005</v>
      </c>
      <c r="D158" s="21">
        <v>6.4139726367765189</v>
      </c>
      <c r="E158" s="21">
        <v>2863.0165570700005</v>
      </c>
      <c r="F158" s="21">
        <v>14.182132677222626</v>
      </c>
      <c r="G158" s="21">
        <v>279.53168287999995</v>
      </c>
      <c r="H158" s="21">
        <v>1.384677781307903</v>
      </c>
      <c r="I158" s="21">
        <v>946.74396726000009</v>
      </c>
      <c r="J158" s="21">
        <v>4.68975581782259</v>
      </c>
      <c r="K158" s="21">
        <v>2811.7365121000003</v>
      </c>
      <c r="L158" s="21">
        <v>13.928113747551201</v>
      </c>
      <c r="M158" s="21">
        <v>2177.4258837900002</v>
      </c>
      <c r="N158" s="21">
        <v>10.786016134790202</v>
      </c>
      <c r="O158" s="21">
        <v>921.72068871999988</v>
      </c>
      <c r="P158" s="21">
        <v>4.5658014329284384</v>
      </c>
      <c r="Q158" s="21">
        <v>7769.904207599765</v>
      </c>
      <c r="R158" s="21">
        <v>38.488709431098123</v>
      </c>
      <c r="S158" s="21">
        <v>1351.46503605</v>
      </c>
      <c r="T158" s="21">
        <f t="shared" si="134"/>
        <v>6.6945671000602376</v>
      </c>
      <c r="U158" s="21">
        <v>12.306257690000001</v>
      </c>
      <c r="V158" s="21">
        <v>6.0959821866445461E-2</v>
      </c>
      <c r="W158" s="21">
        <v>0.93900780000000006</v>
      </c>
      <c r="X158" s="21">
        <v>4.6514342264844001E-3</v>
      </c>
      <c r="Y158" s="33">
        <v>256.06993816999824</v>
      </c>
      <c r="Z158" s="21">
        <v>1.2684585525036893</v>
      </c>
      <c r="AA158" s="21">
        <v>738.34771580999995</v>
      </c>
      <c r="AB158" s="34">
        <v>3.657451872460709</v>
      </c>
      <c r="AC158" s="38">
        <v>87.254628580000002</v>
      </c>
      <c r="AD158" s="34">
        <v>0.43222129336539689</v>
      </c>
      <c r="AE158" s="21">
        <v>1.2923662499999999</v>
      </c>
      <c r="AF158" s="34">
        <v>6.4018175444371115E-3</v>
      </c>
      <c r="AG158" s="21">
        <v>26.380112749999999</v>
      </c>
      <c r="AH158" s="34">
        <v>0.13067554853523847</v>
      </c>
      <c r="AI158" s="21">
        <v>298.25574164999995</v>
      </c>
    </row>
    <row r="159" spans="1:35" ht="14.25" customHeight="1" x14ac:dyDescent="0.25">
      <c r="A159" s="29" t="s">
        <v>57</v>
      </c>
      <c r="B159" s="21">
        <v>20095.838231829763</v>
      </c>
      <c r="C159" s="21">
        <v>1333.6381339100001</v>
      </c>
      <c r="D159" s="21">
        <v>6.6363896769314801</v>
      </c>
      <c r="E159" s="21">
        <v>2849.6560058600003</v>
      </c>
      <c r="F159" s="21">
        <v>14.180329145695625</v>
      </c>
      <c r="G159" s="21">
        <v>242.69786546</v>
      </c>
      <c r="H159" s="21">
        <v>1.2077021254858198</v>
      </c>
      <c r="I159" s="21">
        <v>949.0059847</v>
      </c>
      <c r="J159" s="21">
        <v>4.7224005973379652</v>
      </c>
      <c r="K159" s="21">
        <v>2744.52258222</v>
      </c>
      <c r="L159" s="21">
        <v>13.657168964830516</v>
      </c>
      <c r="M159" s="21">
        <v>2135.7989032400001</v>
      </c>
      <c r="N159" s="21">
        <v>10.628065764667195</v>
      </c>
      <c r="O159" s="21">
        <v>1006.4432903799999</v>
      </c>
      <c r="P159" s="21">
        <v>5.0082175163307996</v>
      </c>
      <c r="Q159" s="21">
        <v>7684.3381656097645</v>
      </c>
      <c r="R159" s="21">
        <v>38.238455529755186</v>
      </c>
      <c r="S159" s="21">
        <v>1359.6583800000001</v>
      </c>
      <c r="T159" s="21">
        <f t="shared" si="134"/>
        <v>6.7658704469786173</v>
      </c>
      <c r="U159" s="21">
        <v>12.05101359</v>
      </c>
      <c r="V159" s="21">
        <v>5.996770799494406E-2</v>
      </c>
      <c r="W159" s="21">
        <v>0.93454179000000004</v>
      </c>
      <c r="X159" s="21">
        <v>4.6504245268046644E-3</v>
      </c>
      <c r="Y159" s="33">
        <v>260.62104792999475</v>
      </c>
      <c r="Z159" s="21">
        <v>1.2968906542907852</v>
      </c>
      <c r="AA159" s="21">
        <v>760.06812403000004</v>
      </c>
      <c r="AB159" s="34">
        <v>3.7822165727136947</v>
      </c>
      <c r="AC159" s="38">
        <v>88.278539190000004</v>
      </c>
      <c r="AD159" s="34">
        <v>0.43928766828036953</v>
      </c>
      <c r="AE159" s="21">
        <v>1.5309030800000001</v>
      </c>
      <c r="AF159" s="34">
        <v>7.6180105668605816E-3</v>
      </c>
      <c r="AG159" s="21">
        <v>26.253130840000001</v>
      </c>
      <c r="AH159" s="34">
        <v>0.13063964059193964</v>
      </c>
      <c r="AI159" s="21">
        <v>306.42061322999996</v>
      </c>
    </row>
    <row r="160" spans="1:35" ht="14.25" customHeight="1" x14ac:dyDescent="0.25">
      <c r="A160" s="29" t="s">
        <v>58</v>
      </c>
      <c r="B160" s="21" t="s">
        <v>69</v>
      </c>
      <c r="C160" s="21">
        <v>1353.75081765</v>
      </c>
      <c r="D160" s="21">
        <v>7.0826903301960416</v>
      </c>
      <c r="E160" s="21">
        <v>2434.94966148</v>
      </c>
      <c r="F160" s="21">
        <v>12.739415701196876</v>
      </c>
      <c r="G160" s="21">
        <v>171.34702250000001</v>
      </c>
      <c r="H160" s="21">
        <v>0.89647066767822103</v>
      </c>
      <c r="I160" s="21">
        <v>757.54677633000006</v>
      </c>
      <c r="J160" s="21">
        <v>3.9634097778036343</v>
      </c>
      <c r="K160" s="21">
        <v>2728.4976025500005</v>
      </c>
      <c r="L160" s="21">
        <v>14.275229483584548</v>
      </c>
      <c r="M160" s="21">
        <v>1968.9254755100001</v>
      </c>
      <c r="N160" s="21">
        <v>10.301223271265826</v>
      </c>
      <c r="O160" s="21">
        <v>1014.8269032000001</v>
      </c>
      <c r="P160" s="21">
        <v>5.3094739448391968</v>
      </c>
      <c r="Q160" s="21">
        <v>7592.2001499897642</v>
      </c>
      <c r="R160" s="21">
        <v>39.721639969600382</v>
      </c>
      <c r="S160" s="21">
        <v>1357.27098</v>
      </c>
      <c r="T160" s="21">
        <v>7.1</v>
      </c>
      <c r="U160" s="21">
        <v>11.9204025</v>
      </c>
      <c r="V160" s="21">
        <v>6.2366366408077724E-2</v>
      </c>
      <c r="W160" s="21">
        <v>0.81012240000000002</v>
      </c>
      <c r="X160" s="21">
        <v>4.2384802387160428E-3</v>
      </c>
      <c r="Y160" s="33">
        <v>273.95916316000444</v>
      </c>
      <c r="Z160" s="21">
        <v>1.4333272345868511</v>
      </c>
      <c r="AA160" s="21">
        <v>690.03686635000008</v>
      </c>
      <c r="AB160" s="34">
        <v>3.6102046085999082</v>
      </c>
      <c r="AC160" s="38">
        <v>89.985687530000007</v>
      </c>
      <c r="AD160" s="34">
        <v>0.47079621346500433</v>
      </c>
      <c r="AE160" s="21">
        <v>2.0203947800000002</v>
      </c>
      <c r="AF160" s="34">
        <v>1.0570505579693941E-2</v>
      </c>
      <c r="AG160" s="21">
        <v>22.73426881</v>
      </c>
      <c r="AH160" s="34">
        <v>0.11894344495701326</v>
      </c>
      <c r="AI160" s="21">
        <v>308.09468064999999</v>
      </c>
    </row>
    <row r="161" spans="1:35" ht="14.25" customHeight="1" x14ac:dyDescent="0.25">
      <c r="A161" s="29" t="s">
        <v>59</v>
      </c>
      <c r="B161" s="21" t="s">
        <v>70</v>
      </c>
      <c r="C161" s="21">
        <v>1301.8673845200001</v>
      </c>
      <c r="D161" s="21">
        <v>7.0119479548822365</v>
      </c>
      <c r="E161" s="21">
        <v>2546.6813825999998</v>
      </c>
      <c r="F161" s="21">
        <v>13.71660241649168</v>
      </c>
      <c r="G161" s="21">
        <v>247.11627070999998</v>
      </c>
      <c r="H161" s="21">
        <v>1.3309853596662478</v>
      </c>
      <c r="I161" s="21">
        <v>685.46898859999988</v>
      </c>
      <c r="J161" s="21">
        <v>3.6919834768893267</v>
      </c>
      <c r="K161" s="21">
        <v>2467.9970493199999</v>
      </c>
      <c r="L161" s="21">
        <v>13.2928031444734</v>
      </c>
      <c r="M161" s="21">
        <v>1610.2726114500001</v>
      </c>
      <c r="N161" s="21">
        <v>8.6730398801893074</v>
      </c>
      <c r="O161" s="21">
        <v>1075.0305602699998</v>
      </c>
      <c r="P161" s="21">
        <v>5.7901890992533165</v>
      </c>
      <c r="Q161" s="21">
        <v>7557.0816981380995</v>
      </c>
      <c r="R161" s="21">
        <v>40.702965746142297</v>
      </c>
      <c r="S161" s="21">
        <v>1474.5229999999999</v>
      </c>
      <c r="T161" s="21">
        <v>7.9</v>
      </c>
      <c r="U161" s="21">
        <v>11.672549439999999</v>
      </c>
      <c r="V161" s="21">
        <v>6.2869160213462894E-2</v>
      </c>
      <c r="W161" s="21">
        <v>0.99635276000000006</v>
      </c>
      <c r="X161" s="21">
        <v>5.3664250144796095E-3</v>
      </c>
      <c r="Y161" s="33">
        <v>296.78359490000389</v>
      </c>
      <c r="Z161" s="21">
        <v>1.5984970097925595</v>
      </c>
      <c r="AA161" s="21">
        <v>627.15388402000008</v>
      </c>
      <c r="AB161" s="34">
        <v>3.3778942822750571</v>
      </c>
      <c r="AC161" s="38">
        <v>109.35861632000001</v>
      </c>
      <c r="AD161" s="34">
        <v>0.58901308625724691</v>
      </c>
      <c r="AE161" s="21">
        <v>2.3726751499999996</v>
      </c>
      <c r="AF161" s="34">
        <v>1.2779392788748992E-2</v>
      </c>
      <c r="AG161" s="21">
        <v>26.561775879999999</v>
      </c>
      <c r="AH161" s="34">
        <v>0.1430635656706899</v>
      </c>
      <c r="AI161" s="21">
        <v>317.59927278000004</v>
      </c>
    </row>
    <row r="162" spans="1:35" x14ac:dyDescent="0.25">
      <c r="A162" s="29" t="s">
        <v>60</v>
      </c>
      <c r="B162" s="21">
        <v>18744.267431858105</v>
      </c>
      <c r="C162" s="21">
        <v>1229.5888907799997</v>
      </c>
      <c r="D162" s="21">
        <f>C162/$B$162*100</f>
        <v>6.5598129948261805</v>
      </c>
      <c r="E162" s="21">
        <v>2535.2013345500004</v>
      </c>
      <c r="F162" s="21">
        <f>E162/$B$162*100</f>
        <v>13.525208940633899</v>
      </c>
      <c r="G162" s="21">
        <v>254.73982409999999</v>
      </c>
      <c r="H162" s="21">
        <f>G162/$B$162*100</f>
        <v>1.3590279002690682</v>
      </c>
      <c r="I162" s="21">
        <v>621.49002730999996</v>
      </c>
      <c r="J162" s="21">
        <f>I162/$B$162*100</f>
        <v>3.3156271887889521</v>
      </c>
      <c r="K162" s="21">
        <v>2625.6152657299999</v>
      </c>
      <c r="L162" s="21">
        <f>K162/$B$162*100</f>
        <v>14.007564047381523</v>
      </c>
      <c r="M162" s="21">
        <v>1818.6654537099998</v>
      </c>
      <c r="N162" s="21">
        <f>M162/$B$162*100</f>
        <v>9.7025155041213402</v>
      </c>
      <c r="O162" s="21">
        <v>1060.3267777900001</v>
      </c>
      <c r="P162" s="21">
        <f>O162/$B$162*100</f>
        <v>5.6568056428166882</v>
      </c>
      <c r="Q162" s="21">
        <v>7530.0157831080996</v>
      </c>
      <c r="R162" s="21">
        <f>Q162/$B$162*100</f>
        <v>40.172366354045636</v>
      </c>
      <c r="S162" s="21">
        <v>1497.3124299999999</v>
      </c>
      <c r="T162" s="21">
        <f t="shared" si="134"/>
        <v>7.9881085534190568</v>
      </c>
      <c r="U162" s="21">
        <v>11.800347410000001</v>
      </c>
      <c r="V162" s="21">
        <f>U162/$B$162*100</f>
        <v>6.2954433684316247E-2</v>
      </c>
      <c r="W162" s="21">
        <v>0.65703473999999995</v>
      </c>
      <c r="X162" s="21">
        <f>W162/$B$162*100</f>
        <v>3.5052569666355247E-3</v>
      </c>
      <c r="Y162" s="33">
        <f>((B162-C162-E162-G162-I162-K162-M162-W162-O162-Q162-U162-AA162-AC162-AE162-AG162))</f>
        <v>292.18494371000634</v>
      </c>
      <c r="Z162" s="21">
        <f>Y162/$B$162*100</f>
        <v>1.5587962814348422</v>
      </c>
      <c r="AA162" s="21">
        <v>645.26360625999996</v>
      </c>
      <c r="AB162" s="21">
        <f>AA162/$B$162*100</f>
        <v>3.4424583868415044</v>
      </c>
      <c r="AC162" s="38">
        <v>96.65910796</v>
      </c>
      <c r="AD162" s="21">
        <f>AC162/$B$162*100</f>
        <v>0.5156729027228687</v>
      </c>
      <c r="AE162" s="21">
        <v>2.5893522699999996</v>
      </c>
      <c r="AF162" s="21">
        <f>AE162/$B$162*100</f>
        <v>1.3814102255066466E-2</v>
      </c>
      <c r="AG162" s="21">
        <v>19.469682429999999</v>
      </c>
      <c r="AH162" s="21">
        <f>AG162/$B$162*100</f>
        <v>0.10387006321148068</v>
      </c>
      <c r="AI162" s="21">
        <v>321.15509671000001</v>
      </c>
    </row>
    <row r="163" spans="1:35" x14ac:dyDescent="0.25">
      <c r="A163" s="29" t="s">
        <v>61</v>
      </c>
      <c r="B163" s="21">
        <v>21730.445</v>
      </c>
      <c r="C163" s="21">
        <v>1508.4988000000001</v>
      </c>
      <c r="D163" s="21">
        <v>6.9</v>
      </c>
      <c r="E163" s="21">
        <v>3158.02423</v>
      </c>
      <c r="F163" s="21">
        <f>E163/$B$163*100</f>
        <v>14.532717714708557</v>
      </c>
      <c r="G163" s="21">
        <v>316.54005999999998</v>
      </c>
      <c r="H163" s="21">
        <f>G163/$B$163*100</f>
        <v>1.4566662578700069</v>
      </c>
      <c r="I163" s="21">
        <v>508.12902000000003</v>
      </c>
      <c r="J163" s="21">
        <f>I163/$B$163*100</f>
        <v>2.3383277240756</v>
      </c>
      <c r="K163" s="21">
        <v>3063.1964199999998</v>
      </c>
      <c r="L163" s="21">
        <f>K163/$B$163*100</f>
        <v>14.096335440898702</v>
      </c>
      <c r="M163" s="21">
        <v>1948.3333</v>
      </c>
      <c r="N163" s="21">
        <f>M163/$B$163*100</f>
        <v>8.9659153321526546</v>
      </c>
      <c r="O163" s="21">
        <v>1465.58404</v>
      </c>
      <c r="P163" s="21">
        <f>O163/$B$163*100</f>
        <v>6.7443811666074955</v>
      </c>
      <c r="Q163" s="21">
        <v>8383.6170999999995</v>
      </c>
      <c r="R163" s="21">
        <f>Q163/$B$163*100</f>
        <v>38.580052548394661</v>
      </c>
      <c r="S163" s="21">
        <v>1542.42472</v>
      </c>
      <c r="T163" s="21">
        <f t="shared" si="134"/>
        <v>7.0979895717736108</v>
      </c>
      <c r="U163" s="21">
        <v>14.645200000000001</v>
      </c>
      <c r="V163" s="21">
        <f>U163/$B$163*100</f>
        <v>6.7394846262927438E-2</v>
      </c>
      <c r="W163" s="21">
        <v>0.52739999999999998</v>
      </c>
      <c r="X163" s="21">
        <f>W163/$B$163*100</f>
        <v>2.4270096631707266E-3</v>
      </c>
      <c r="Y163" s="33">
        <f>(((B163-C163-E163-G163-I163-K163-M163-W163-O163-Q163-U163-AA163-AC163-AE163-AG163)))</f>
        <v>259.43742999999927</v>
      </c>
      <c r="Z163" s="21">
        <f>Y163/$B$163*100</f>
        <v>1.1938891725411021</v>
      </c>
      <c r="AA163" s="21">
        <v>934.58500000000004</v>
      </c>
      <c r="AB163" s="21">
        <f>AA163/$B$163*100</f>
        <v>4.3008093023405642</v>
      </c>
      <c r="AC163" s="38">
        <v>134.7662</v>
      </c>
      <c r="AD163" s="21">
        <f>AC163/$B$163*100</f>
        <v>0.6201722974379954</v>
      </c>
      <c r="AE163" s="21">
        <v>5.4794</v>
      </c>
      <c r="AF163" s="21">
        <f>AE163/$B$163*100</f>
        <v>2.5215314274512096E-2</v>
      </c>
      <c r="AG163" s="21">
        <v>29.081400000000002</v>
      </c>
      <c r="AH163" s="21">
        <f>AG163/$B$163*100</f>
        <v>0.13382790826418881</v>
      </c>
      <c r="AI163" s="21">
        <v>383.28996276000004</v>
      </c>
    </row>
    <row r="164" spans="1:35" s="42" customFormat="1" x14ac:dyDescent="0.25">
      <c r="A164" s="41" t="s">
        <v>71</v>
      </c>
      <c r="B164" s="35">
        <v>16444.561727330001</v>
      </c>
      <c r="C164" s="35">
        <v>1472.5995942200004</v>
      </c>
      <c r="D164" s="35">
        <v>8.9549336652287739</v>
      </c>
      <c r="E164" s="35">
        <v>2467.0027956899999</v>
      </c>
      <c r="F164" s="35">
        <v>15.00193703301907</v>
      </c>
      <c r="G164" s="35">
        <v>596.22871301999999</v>
      </c>
      <c r="H164" s="35">
        <v>3.6256892880829965</v>
      </c>
      <c r="I164" s="35">
        <v>441.26909290999993</v>
      </c>
      <c r="J164" s="35">
        <v>2.6833739945567157</v>
      </c>
      <c r="K164" s="35">
        <v>1908.56788125</v>
      </c>
      <c r="L164" s="35">
        <v>11.606073259332049</v>
      </c>
      <c r="M164" s="35">
        <v>1265.5546495100002</v>
      </c>
      <c r="N164" s="35">
        <v>7.6958855486352951</v>
      </c>
      <c r="O164" s="35">
        <v>1271.1043572999999</v>
      </c>
      <c r="P164" s="35">
        <v>7.7296335309897071</v>
      </c>
      <c r="Q164" s="35">
        <v>5858.7337056699998</v>
      </c>
      <c r="R164" s="35">
        <v>35.627180601189821</v>
      </c>
      <c r="S164" s="35">
        <v>1703.4574499999999</v>
      </c>
      <c r="T164" s="35">
        <v>10.35878899204071</v>
      </c>
      <c r="U164" s="35">
        <v>25.581052979999999</v>
      </c>
      <c r="V164" s="35">
        <v>0.15555934785106268</v>
      </c>
      <c r="W164" s="35">
        <v>0.86648340000000013</v>
      </c>
      <c r="X164" s="35">
        <v>5.2691182311046334E-3</v>
      </c>
      <c r="Y164" s="36">
        <f>(((B164-C164-E164-G164-I164-K164-M164-W164-O164-Q164-U164-AA164-AC164-AE164-AG164)))</f>
        <v>198.09825160999975</v>
      </c>
      <c r="Z164" s="35">
        <v>1.0669709117527593</v>
      </c>
      <c r="AA164" s="35">
        <v>837.33076181000001</v>
      </c>
      <c r="AB164" s="35">
        <v>5.0918399389045446</v>
      </c>
      <c r="AC164" s="39">
        <v>82.34059705</v>
      </c>
      <c r="AD164" s="35">
        <v>0.500716275783466</v>
      </c>
      <c r="AE164" s="35">
        <v>6.9581468499999994</v>
      </c>
      <c r="AF164" s="35">
        <v>4.2312753391511332E-2</v>
      </c>
      <c r="AG164" s="35">
        <v>12.32564406</v>
      </c>
      <c r="AH164" s="35">
        <v>7.495270633765462E-2</v>
      </c>
      <c r="AI164" s="35">
        <v>493.77563256000002</v>
      </c>
    </row>
    <row r="165" spans="1:35" x14ac:dyDescent="0.25">
      <c r="A165" s="29" t="s">
        <v>50</v>
      </c>
      <c r="B165" s="21">
        <v>21199.450080179002</v>
      </c>
      <c r="C165" s="21">
        <v>1314.6188215699999</v>
      </c>
      <c r="D165" s="21">
        <f>C165/$B$165*100</f>
        <v>6.2011930337718439</v>
      </c>
      <c r="E165" s="21">
        <v>2912.9847189299999</v>
      </c>
      <c r="F165" s="21">
        <f>E165/$B$165*100</f>
        <v>13.740850389574838</v>
      </c>
      <c r="G165" s="21">
        <v>310.33868285</v>
      </c>
      <c r="H165" s="21">
        <f>G165/$B$165*100</f>
        <v>1.4638996845496455</v>
      </c>
      <c r="I165" s="21">
        <v>441.14897502999997</v>
      </c>
      <c r="J165" s="21">
        <f>I165/$B$165*100</f>
        <v>2.080945370571023</v>
      </c>
      <c r="K165" s="21">
        <v>3083.48934629</v>
      </c>
      <c r="L165" s="21">
        <f>K165/$B$165*100</f>
        <v>14.545138362683247</v>
      </c>
      <c r="M165" s="21">
        <v>1881.55497216</v>
      </c>
      <c r="N165" s="21">
        <f>M165/$B$165*100</f>
        <v>8.8754895294157219</v>
      </c>
      <c r="O165" s="21">
        <v>1501.8844209099998</v>
      </c>
      <c r="P165" s="21">
        <f>O165/$B$165*100</f>
        <v>7.0845442463350841</v>
      </c>
      <c r="Q165" s="21">
        <v>8066.4661161189997</v>
      </c>
      <c r="R165" s="21">
        <f>Q165/$B$165*100</f>
        <v>38.050355483800779</v>
      </c>
      <c r="S165" s="21">
        <v>1513.3164099999999</v>
      </c>
      <c r="T165" s="21">
        <f t="shared" si="134"/>
        <v>7.1384701219911166</v>
      </c>
      <c r="U165" s="21">
        <v>14.650855089999999</v>
      </c>
      <c r="V165" s="21">
        <f>U165/$B$165*100</f>
        <v>6.9109599704655592E-2</v>
      </c>
      <c r="W165" s="21">
        <v>1.37271337</v>
      </c>
      <c r="X165" s="21">
        <f>W165/$B$165*100</f>
        <v>6.4752310310325235E-3</v>
      </c>
      <c r="Y165" s="33">
        <f>(((B165-C165-E165-G165-I165-K165-M165-W165-O165-Q165-U165-AA165-AC165-AE165-AG165)))</f>
        <v>260.00674953000578</v>
      </c>
      <c r="Z165" s="21">
        <f>Y165/$B$165*100</f>
        <v>1.2264787461308069</v>
      </c>
      <c r="AA165" s="21">
        <v>1246.7152673000001</v>
      </c>
      <c r="AB165" s="21">
        <f>AA165/$B$165*100</f>
        <v>5.8808849408110362</v>
      </c>
      <c r="AC165" s="38">
        <v>137.41037517000001</v>
      </c>
      <c r="AD165" s="21">
        <f>AC165/$B$165*100</f>
        <v>0.64817896054046964</v>
      </c>
      <c r="AE165" s="21">
        <v>3.6036627999999999</v>
      </c>
      <c r="AF165" s="21">
        <f>AE165/$B$165*100</f>
        <v>1.6998850377582867E-2</v>
      </c>
      <c r="AG165" s="21">
        <v>23.204403060000001</v>
      </c>
      <c r="AH165" s="21">
        <f>AG165/$B$165*100</f>
        <v>0.10945757070224942</v>
      </c>
      <c r="AI165" s="21">
        <v>397.69746199999997</v>
      </c>
    </row>
    <row r="166" spans="1:35" x14ac:dyDescent="0.25">
      <c r="A166" s="29" t="s">
        <v>51</v>
      </c>
      <c r="B166" s="21">
        <v>20327.413122969003</v>
      </c>
      <c r="C166" s="21">
        <v>1329.4548797100003</v>
      </c>
      <c r="D166" s="21">
        <v>6.5402069199242092</v>
      </c>
      <c r="E166" s="21">
        <v>2857.1265031700004</v>
      </c>
      <c r="F166" s="21">
        <v>14.055534198503519</v>
      </c>
      <c r="G166" s="21">
        <v>299.16341899999998</v>
      </c>
      <c r="H166" s="21">
        <v>1.471724007330572</v>
      </c>
      <c r="I166" s="21">
        <v>438.54389478999997</v>
      </c>
      <c r="J166" s="21">
        <v>2.1574013974973845</v>
      </c>
      <c r="K166" s="21">
        <v>3056.4085922900003</v>
      </c>
      <c r="L166" s="21">
        <v>15.035895486555567</v>
      </c>
      <c r="M166" s="21">
        <v>1723.1210283900004</v>
      </c>
      <c r="N166" s="21">
        <v>8.4768338104121881</v>
      </c>
      <c r="O166" s="21">
        <v>1537.43920742</v>
      </c>
      <c r="P166" s="21">
        <v>7.5633785672549125</v>
      </c>
      <c r="Q166" s="21">
        <v>7739.6794244490002</v>
      </c>
      <c r="R166" s="21">
        <v>38.075083030134969</v>
      </c>
      <c r="S166" s="21">
        <v>1532.24368</v>
      </c>
      <c r="T166" s="21">
        <f t="shared" si="134"/>
        <v>7.5378193512908833</v>
      </c>
      <c r="U166" s="21">
        <v>14.387640749999999</v>
      </c>
      <c r="V166" s="21">
        <v>7.0779496943182876E-2</v>
      </c>
      <c r="W166" s="21">
        <v>0.72260815999999994</v>
      </c>
      <c r="X166" s="21">
        <v>3.5548456442964071E-3</v>
      </c>
      <c r="Y166" s="33">
        <v>248.82790741000201</v>
      </c>
      <c r="Z166" s="21">
        <v>1.3402043535521002</v>
      </c>
      <c r="AA166" s="21">
        <v>915.02765162999992</v>
      </c>
      <c r="AB166" s="21">
        <v>4.501446623309203</v>
      </c>
      <c r="AC166" s="38">
        <v>134.63811995</v>
      </c>
      <c r="AD166" s="21">
        <v>0.66234753598757423</v>
      </c>
      <c r="AE166" s="21">
        <v>5.0227493499999998</v>
      </c>
      <c r="AF166" s="21">
        <v>2.4709240273788374E-2</v>
      </c>
      <c r="AG166" s="21">
        <v>27.849496500000001</v>
      </c>
      <c r="AH166" s="21">
        <v>0.13700462686288106</v>
      </c>
      <c r="AI166" s="21">
        <v>384.06938136999997</v>
      </c>
    </row>
    <row r="167" spans="1:35" x14ac:dyDescent="0.25">
      <c r="A167" s="29" t="s">
        <v>52</v>
      </c>
      <c r="B167" s="21">
        <v>19686.956662108998</v>
      </c>
      <c r="C167" s="21">
        <v>1326.5289649900001</v>
      </c>
      <c r="D167" s="21">
        <v>6.7381108606955884</v>
      </c>
      <c r="E167" s="21">
        <v>2800.5113016000005</v>
      </c>
      <c r="F167" s="21">
        <v>14.225211898749571</v>
      </c>
      <c r="G167" s="21">
        <v>298.16427358000004</v>
      </c>
      <c r="H167" s="21">
        <v>1.5145269972268975</v>
      </c>
      <c r="I167" s="21">
        <v>432.88660826999995</v>
      </c>
      <c r="J167" s="21">
        <v>2.1988498054814443</v>
      </c>
      <c r="K167" s="21">
        <v>3054.8403476100002</v>
      </c>
      <c r="L167" s="21">
        <v>15.517077626780051</v>
      </c>
      <c r="M167" s="21">
        <v>1369.0885389099999</v>
      </c>
      <c r="N167" s="21">
        <v>6.9542924404616127</v>
      </c>
      <c r="O167" s="21">
        <v>1513.3677482200003</v>
      </c>
      <c r="P167" s="21">
        <v>7.6871594436571407</v>
      </c>
      <c r="Q167" s="21">
        <v>7583.2076768689994</v>
      </c>
      <c r="R167" s="21">
        <v>38.518943313692624</v>
      </c>
      <c r="S167" s="21">
        <v>1534.1</v>
      </c>
      <c r="T167" s="21">
        <f t="shared" si="134"/>
        <v>7.7924690257110409</v>
      </c>
      <c r="U167" s="21">
        <v>11.34367743</v>
      </c>
      <c r="V167" s="21">
        <v>5.7620269220345757E-2</v>
      </c>
      <c r="W167" s="21">
        <v>0.44926474000000005</v>
      </c>
      <c r="X167" s="21">
        <v>2.2820426118206928E-3</v>
      </c>
      <c r="Y167" s="33">
        <v>279.78869797999647</v>
      </c>
      <c r="Z167" s="21">
        <v>1.5069613172030891</v>
      </c>
      <c r="AA167" s="21">
        <v>897.11459667999998</v>
      </c>
      <c r="AB167" s="21">
        <v>4.5568983163693062</v>
      </c>
      <c r="AC167" s="38">
        <v>86.161606820000003</v>
      </c>
      <c r="AD167" s="21">
        <v>0.43765833540860649</v>
      </c>
      <c r="AE167" s="21">
        <v>6.1623595199999999</v>
      </c>
      <c r="AF167" s="21">
        <v>3.1301737621338609E-2</v>
      </c>
      <c r="AG167" s="21">
        <v>27.340998890000002</v>
      </c>
      <c r="AH167" s="21">
        <v>0.1388787477884916</v>
      </c>
      <c r="AI167" s="21">
        <v>363.67032284999999</v>
      </c>
    </row>
    <row r="168" spans="1:35" x14ac:dyDescent="0.25">
      <c r="A168" s="29" t="s">
        <v>53</v>
      </c>
      <c r="B168" s="21">
        <v>18758.68189168</v>
      </c>
      <c r="C168" s="21">
        <v>1381.301174834</v>
      </c>
      <c r="D168" s="21">
        <v>7.3635300327079252</v>
      </c>
      <c r="E168" s="21">
        <v>2676.6403743599999</v>
      </c>
      <c r="F168" s="21">
        <v>14.268808383318046</v>
      </c>
      <c r="G168" s="21">
        <v>296.25036904000001</v>
      </c>
      <c r="H168" s="21">
        <v>1.5792707118264815</v>
      </c>
      <c r="I168" s="21">
        <v>432.00326386</v>
      </c>
      <c r="J168" s="21">
        <v>2.3029510620978413</v>
      </c>
      <c r="K168" s="21">
        <v>2846.53541326</v>
      </c>
      <c r="L168" s="21">
        <v>15.174495893139047</v>
      </c>
      <c r="M168" s="21">
        <v>1208.8120084499999</v>
      </c>
      <c r="N168" s="21">
        <v>6.4440135795796065</v>
      </c>
      <c r="O168" s="21">
        <v>1512.2607060900002</v>
      </c>
      <c r="P168" s="21">
        <v>8.0616576091134107</v>
      </c>
      <c r="Q168" s="21">
        <v>7185.4199944759985</v>
      </c>
      <c r="R168" s="21">
        <v>38.304503674444909</v>
      </c>
      <c r="S168" s="21">
        <v>1570.3</v>
      </c>
      <c r="T168" s="21">
        <f t="shared" si="134"/>
        <v>8.3710572473456786</v>
      </c>
      <c r="U168" s="21">
        <v>10.92994515</v>
      </c>
      <c r="V168" s="21">
        <v>5.8266061619434657E-2</v>
      </c>
      <c r="W168" s="21">
        <v>0.43692742000000001</v>
      </c>
      <c r="X168" s="21">
        <v>2.3292010735241988E-3</v>
      </c>
      <c r="Y168" s="33">
        <v>283.51240658999865</v>
      </c>
      <c r="Z168" s="21">
        <v>1.5270174698365688</v>
      </c>
      <c r="AA168" s="21">
        <v>799.01221382000006</v>
      </c>
      <c r="AB168" s="21">
        <v>4.2594262135997107</v>
      </c>
      <c r="AC168" s="38">
        <v>90.242772169999995</v>
      </c>
      <c r="AD168" s="21">
        <v>0.48107203209211186</v>
      </c>
      <c r="AE168" s="21">
        <v>9.30940631</v>
      </c>
      <c r="AF168" s="21">
        <v>4.9627187900280895E-2</v>
      </c>
      <c r="AG168" s="21">
        <v>26.014915849999998</v>
      </c>
      <c r="AH168" s="21">
        <v>0.13868200335300926</v>
      </c>
      <c r="AI168" s="21">
        <v>425.14762057000002</v>
      </c>
    </row>
    <row r="169" spans="1:35" x14ac:dyDescent="0.25">
      <c r="A169" s="29" t="s">
        <v>54</v>
      </c>
      <c r="B169" s="21">
        <v>18197.110367269997</v>
      </c>
      <c r="C169" s="21">
        <v>1514.1593900339999</v>
      </c>
      <c r="D169" s="21">
        <v>8.3208782024943009</v>
      </c>
      <c r="E169" s="21">
        <v>2620.3571317400001</v>
      </c>
      <c r="F169" s="21">
        <v>14.399852937382148</v>
      </c>
      <c r="G169" s="21">
        <v>288.29691554999999</v>
      </c>
      <c r="H169" s="21">
        <v>1.5843005275636597</v>
      </c>
      <c r="I169" s="21">
        <v>427.38138985999996</v>
      </c>
      <c r="J169" s="21">
        <v>2.3486222880128489</v>
      </c>
      <c r="K169" s="21">
        <v>2776.5025821700001</v>
      </c>
      <c r="L169" s="21">
        <v>15.257931210682338</v>
      </c>
      <c r="M169" s="21">
        <v>1212.4725716400001</v>
      </c>
      <c r="N169" s="21">
        <v>6.6629950974018302</v>
      </c>
      <c r="O169" s="21">
        <v>1243.9262313699999</v>
      </c>
      <c r="P169" s="21">
        <v>6.83584484714327</v>
      </c>
      <c r="Q169" s="21">
        <v>6932.6727854159999</v>
      </c>
      <c r="R169" s="21">
        <v>38.097657515367736</v>
      </c>
      <c r="S169" s="21">
        <v>1573.5</v>
      </c>
      <c r="T169" s="21">
        <f t="shared" si="134"/>
        <v>8.6469772850867344</v>
      </c>
      <c r="U169" s="21">
        <v>12.541814710000001</v>
      </c>
      <c r="V169" s="21">
        <v>6.8922012654043005E-2</v>
      </c>
      <c r="W169" s="21">
        <v>0.82492617000000013</v>
      </c>
      <c r="X169" s="21">
        <v>4.5332811273362562E-3</v>
      </c>
      <c r="Y169" s="33">
        <v>269.82203649999525</v>
      </c>
      <c r="Z169" s="21">
        <v>1.4532801877634229</v>
      </c>
      <c r="AA169" s="21">
        <v>781.70088365000004</v>
      </c>
      <c r="AB169" s="21">
        <v>4.2957418396274409</v>
      </c>
      <c r="AC169" s="38">
        <v>82.826630859999995</v>
      </c>
      <c r="AD169" s="21">
        <v>0.45516364515200758</v>
      </c>
      <c r="AE169" s="21">
        <v>6.4989700699999995</v>
      </c>
      <c r="AF169" s="21">
        <v>3.5714297153955223E-2</v>
      </c>
      <c r="AG169" s="21">
        <v>27.126107529999999</v>
      </c>
      <c r="AH169" s="21">
        <v>0.14906821458197028</v>
      </c>
      <c r="AI169" s="21">
        <v>418.63323157999997</v>
      </c>
    </row>
    <row r="170" spans="1:35" x14ac:dyDescent="0.25">
      <c r="A170" s="29" t="s">
        <v>55</v>
      </c>
      <c r="B170" s="21">
        <v>18434.217382689993</v>
      </c>
      <c r="C170" s="21">
        <v>1539.7624078840001</v>
      </c>
      <c r="D170" s="21">
        <v>8.3527408618380523</v>
      </c>
      <c r="E170" s="21">
        <v>2681.4022174800002</v>
      </c>
      <c r="F170" s="21">
        <v>14.54578820361464</v>
      </c>
      <c r="G170" s="21">
        <v>388.92222698</v>
      </c>
      <c r="H170" s="21">
        <v>2.1097843152549771</v>
      </c>
      <c r="I170" s="21">
        <v>424.80752186000007</v>
      </c>
      <c r="J170" s="21">
        <v>2.3044510816005714</v>
      </c>
      <c r="K170" s="21">
        <v>2621.6343526000001</v>
      </c>
      <c r="L170" s="21">
        <v>14.221565788096619</v>
      </c>
      <c r="M170" s="21">
        <v>1326.6429550099999</v>
      </c>
      <c r="N170" s="21">
        <v>7.1966329107941274</v>
      </c>
      <c r="O170" s="21">
        <v>1273.6551353200002</v>
      </c>
      <c r="P170" s="21">
        <v>6.9091901699932308</v>
      </c>
      <c r="Q170" s="21">
        <v>6911.8634902159993</v>
      </c>
      <c r="R170" s="21">
        <v>37.494748742120962</v>
      </c>
      <c r="S170" s="21">
        <v>1588.4</v>
      </c>
      <c r="T170" s="21">
        <f t="shared" si="134"/>
        <v>8.6165849464894091</v>
      </c>
      <c r="U170" s="21">
        <v>17.42135008</v>
      </c>
      <c r="V170" s="21">
        <v>9.4505504184619796E-2</v>
      </c>
      <c r="W170" s="21">
        <v>0.86251486999999993</v>
      </c>
      <c r="X170" s="21">
        <v>4.6788797815193088E-3</v>
      </c>
      <c r="Y170" s="33">
        <v>294.44803792999073</v>
      </c>
      <c r="Z170" s="21">
        <v>1.5859175380935793</v>
      </c>
      <c r="AA170" s="21">
        <v>833.58463786000004</v>
      </c>
      <c r="AB170" s="21">
        <v>4.5219421066540564</v>
      </c>
      <c r="AC170" s="38">
        <v>83.350034370000003</v>
      </c>
      <c r="AD170" s="21">
        <v>0.45214848365771654</v>
      </c>
      <c r="AE170" s="21">
        <v>9.6992505399999995</v>
      </c>
      <c r="AF170" s="21">
        <v>5.2615472296142836E-2</v>
      </c>
      <c r="AG170" s="21">
        <v>26.161249689999998</v>
      </c>
      <c r="AH170" s="21">
        <v>0.14191679064480278</v>
      </c>
      <c r="AI170" s="21">
        <v>400.25701327999997</v>
      </c>
    </row>
    <row r="171" spans="1:35" x14ac:dyDescent="0.25">
      <c r="A171" s="29" t="s">
        <v>56</v>
      </c>
      <c r="B171" s="21">
        <v>16713.351003940003</v>
      </c>
      <c r="C171" s="21">
        <v>1504.4260400999999</v>
      </c>
      <c r="D171" s="21">
        <v>9.0013429368254556</v>
      </c>
      <c r="E171" s="21">
        <v>2565.3330977300002</v>
      </c>
      <c r="F171" s="21">
        <v>15.349005098530204</v>
      </c>
      <c r="G171" s="21">
        <v>371.62136804000005</v>
      </c>
      <c r="H171" s="21">
        <v>2.223500050662456</v>
      </c>
      <c r="I171" s="21">
        <v>400.10402630999988</v>
      </c>
      <c r="J171" s="21">
        <v>2.3939186475272338</v>
      </c>
      <c r="K171" s="21">
        <v>2018.88260926</v>
      </c>
      <c r="L171" s="21">
        <v>12.079460359469916</v>
      </c>
      <c r="M171" s="21">
        <v>1307.0735909099999</v>
      </c>
      <c r="N171" s="21">
        <v>7.820535753732873</v>
      </c>
      <c r="O171" s="21">
        <v>1156.6308325899997</v>
      </c>
      <c r="P171" s="21">
        <v>6.920400536776472</v>
      </c>
      <c r="Q171" s="21">
        <v>6237.4137732999989</v>
      </c>
      <c r="R171" s="21">
        <v>37.319947219618562</v>
      </c>
      <c r="S171" s="21">
        <v>1491.3</v>
      </c>
      <c r="T171" s="21">
        <f t="shared" si="134"/>
        <v>8.9228066810087405</v>
      </c>
      <c r="U171" s="21">
        <v>26.128350529999999</v>
      </c>
      <c r="V171" s="21">
        <v>0.15633220725060165</v>
      </c>
      <c r="W171" s="21">
        <v>0.44299424999999998</v>
      </c>
      <c r="X171" s="21">
        <v>2.6505411745111353E-3</v>
      </c>
      <c r="Y171" s="33">
        <v>299.9715893300064</v>
      </c>
      <c r="Z171" s="21">
        <v>1.615667768726561</v>
      </c>
      <c r="AA171" s="21">
        <v>710.03892450000001</v>
      </c>
      <c r="AB171" s="21">
        <v>4.2483337083785022</v>
      </c>
      <c r="AC171" s="38">
        <v>88.805951989999997</v>
      </c>
      <c r="AD171" s="21">
        <v>0.53134737593355696</v>
      </c>
      <c r="AE171" s="21">
        <v>5.7230263499999996</v>
      </c>
      <c r="AF171" s="21">
        <v>3.4242243513289791E-2</v>
      </c>
      <c r="AG171" s="21">
        <v>20.754828750000001</v>
      </c>
      <c r="AH171" s="21">
        <v>0.12418113366438162</v>
      </c>
      <c r="AI171" s="21">
        <v>388.70793996999998</v>
      </c>
    </row>
    <row r="172" spans="1:35" x14ac:dyDescent="0.25">
      <c r="A172" s="29" t="s">
        <v>57</v>
      </c>
      <c r="B172" s="21">
        <v>16839.653401849999</v>
      </c>
      <c r="C172" s="21">
        <v>1592.87461192</v>
      </c>
      <c r="D172" s="21">
        <v>9.4590700527423408</v>
      </c>
      <c r="E172" s="21">
        <v>2504.0081794400003</v>
      </c>
      <c r="F172" s="21">
        <v>14.86971328735846</v>
      </c>
      <c r="G172" s="21">
        <v>370.30636047999997</v>
      </c>
      <c r="H172" s="21">
        <v>2.1990141462134738</v>
      </c>
      <c r="I172" s="21">
        <v>400.71504891999996</v>
      </c>
      <c r="J172" s="21">
        <v>2.3795920222204665</v>
      </c>
      <c r="K172" s="21">
        <v>2021.0706515000002</v>
      </c>
      <c r="L172" s="21">
        <v>12.001854214398296</v>
      </c>
      <c r="M172" s="21">
        <v>1321.3646400999999</v>
      </c>
      <c r="N172" s="21">
        <v>7.8467448739463679</v>
      </c>
      <c r="O172" s="21">
        <v>1175.8362199200001</v>
      </c>
      <c r="P172" s="21">
        <v>6.9825440694095464</v>
      </c>
      <c r="Q172" s="21">
        <v>6272.7068735100002</v>
      </c>
      <c r="R172" s="21">
        <v>37.249619833748376</v>
      </c>
      <c r="S172" s="21">
        <v>1592.1</v>
      </c>
      <c r="T172" s="21">
        <f t="shared" si="134"/>
        <v>9.4544701248132128</v>
      </c>
      <c r="U172" s="21">
        <v>26.451566679999999</v>
      </c>
      <c r="V172" s="21">
        <v>0.1570790446143864</v>
      </c>
      <c r="W172" s="21">
        <v>0.47333585</v>
      </c>
      <c r="X172" s="21">
        <v>2.8108408095145203E-3</v>
      </c>
      <c r="Y172" s="33">
        <v>304.2095440099979</v>
      </c>
      <c r="Z172" s="21">
        <v>1.6384936863312229</v>
      </c>
      <c r="AA172" s="21">
        <v>737.21243791999996</v>
      </c>
      <c r="AB172" s="21">
        <v>4.377836172322942</v>
      </c>
      <c r="AC172" s="38">
        <v>86.590754149999995</v>
      </c>
      <c r="AD172" s="21">
        <v>0.51420746070989298</v>
      </c>
      <c r="AE172" s="21">
        <v>4.6122983</v>
      </c>
      <c r="AF172" s="21">
        <v>2.7389508500770533E-2</v>
      </c>
      <c r="AG172" s="21">
        <v>21.220879150000002</v>
      </c>
      <c r="AH172" s="21">
        <v>0.12601731546130684</v>
      </c>
      <c r="AI172" s="21">
        <v>433.66405376</v>
      </c>
    </row>
    <row r="173" spans="1:35" x14ac:dyDescent="0.25">
      <c r="A173" s="29" t="s">
        <v>58</v>
      </c>
      <c r="B173" s="21">
        <v>16785.056773860004</v>
      </c>
      <c r="C173" s="21">
        <v>1597.3169740999997</v>
      </c>
      <c r="D173" s="21">
        <v>9.51630367189202</v>
      </c>
      <c r="E173" s="21">
        <v>2555.4719370200005</v>
      </c>
      <c r="F173" s="21">
        <v>15.224684500321336</v>
      </c>
      <c r="G173" s="21">
        <v>371.99337359000009</v>
      </c>
      <c r="H173" s="21">
        <v>2.2162175475588457</v>
      </c>
      <c r="I173" s="21">
        <v>409.73824252999998</v>
      </c>
      <c r="J173" s="21">
        <v>2.4410894050004086</v>
      </c>
      <c r="K173" s="21">
        <v>1954.7948936799999</v>
      </c>
      <c r="L173" s="21">
        <v>11.646042786845232</v>
      </c>
      <c r="M173" s="21">
        <v>1333.1654199099999</v>
      </c>
      <c r="N173" s="21">
        <v>7.9425731939506345</v>
      </c>
      <c r="O173" s="21">
        <v>1163.1408173799998</v>
      </c>
      <c r="P173" s="21">
        <v>6.9296209899712844</v>
      </c>
      <c r="Q173" s="21">
        <v>6192.4901740999994</v>
      </c>
      <c r="R173" s="21">
        <v>36.892875952280342</v>
      </c>
      <c r="S173" s="21">
        <v>1650.46289</v>
      </c>
      <c r="T173" s="21">
        <f t="shared" si="134"/>
        <v>9.8329300415017205</v>
      </c>
      <c r="U173" s="21">
        <v>26.04308451</v>
      </c>
      <c r="V173" s="21">
        <v>0.15515636831540464</v>
      </c>
      <c r="W173" s="21">
        <v>0.32957281999999993</v>
      </c>
      <c r="X173" s="21">
        <v>1.9634894563672609E-3</v>
      </c>
      <c r="Y173" s="33">
        <v>310.04375707000565</v>
      </c>
      <c r="Z173" s="21">
        <v>1.6699171621943592</v>
      </c>
      <c r="AA173" s="21">
        <v>741.48234133000005</v>
      </c>
      <c r="AB173" s="21">
        <v>4.417514646031691</v>
      </c>
      <c r="AC173" s="38">
        <v>103.04668011999999</v>
      </c>
      <c r="AD173" s="21">
        <v>0.61391916338631891</v>
      </c>
      <c r="AE173" s="21">
        <v>7.8954057100000004</v>
      </c>
      <c r="AF173" s="21">
        <v>4.7038302082455928E-2</v>
      </c>
      <c r="AG173" s="21">
        <v>18.104099989999998</v>
      </c>
      <c r="AH173" s="21">
        <v>0.10785843762050415</v>
      </c>
      <c r="AI173" s="21">
        <v>408.30885190999999</v>
      </c>
    </row>
    <row r="174" spans="1:35" x14ac:dyDescent="0.25">
      <c r="A174" s="29" t="s">
        <v>59</v>
      </c>
      <c r="B174" s="21">
        <v>15820.032012370004</v>
      </c>
      <c r="C174" s="21">
        <v>1375.5964992800004</v>
      </c>
      <c r="D174" s="21">
        <v>8.6952826530590688</v>
      </c>
      <c r="E174" s="21">
        <v>2483.30053967</v>
      </c>
      <c r="F174" s="21">
        <v>15.697190357947802</v>
      </c>
      <c r="G174" s="21">
        <v>366.35758547</v>
      </c>
      <c r="H174" s="21">
        <v>2.3157828326993117</v>
      </c>
      <c r="I174" s="21">
        <v>402.75996007999998</v>
      </c>
      <c r="J174" s="21">
        <v>2.5458858728292952</v>
      </c>
      <c r="K174" s="21">
        <v>1820.3935156000002</v>
      </c>
      <c r="L174" s="21">
        <v>11.506888950519174</v>
      </c>
      <c r="M174" s="21">
        <v>1211.1274567599999</v>
      </c>
      <c r="N174" s="21">
        <v>7.655657433644854</v>
      </c>
      <c r="O174" s="21">
        <v>1164.8543071899999</v>
      </c>
      <c r="P174" s="21">
        <v>7.3631602406314762</v>
      </c>
      <c r="Q174" s="21">
        <v>5906.0716317400002</v>
      </c>
      <c r="R174" s="21">
        <v>37.332867766145625</v>
      </c>
      <c r="S174" s="21">
        <v>1660.8</v>
      </c>
      <c r="T174" s="21">
        <f t="shared" si="134"/>
        <v>10.498082422977316</v>
      </c>
      <c r="U174" s="21">
        <v>25.498668590000001</v>
      </c>
      <c r="V174" s="21">
        <v>0.16117962700746796</v>
      </c>
      <c r="W174" s="21">
        <v>0.38195142999999998</v>
      </c>
      <c r="X174" s="21">
        <v>2.4143530790667455E-3</v>
      </c>
      <c r="Y174" s="33">
        <v>213.99930573000501</v>
      </c>
      <c r="Z174" s="21">
        <v>1.1526150912160553</v>
      </c>
      <c r="AA174" s="21">
        <v>747.56771261000006</v>
      </c>
      <c r="AB174" s="21">
        <v>4.7254500624617046</v>
      </c>
      <c r="AC174" s="38">
        <v>80.436928269999996</v>
      </c>
      <c r="AD174" s="21">
        <v>0.50844984515268188</v>
      </c>
      <c r="AE174" s="21">
        <v>5.1925049200000002</v>
      </c>
      <c r="AF174" s="21">
        <v>3.2822341420926805E-2</v>
      </c>
      <c r="AG174" s="21">
        <v>16.493445030000004</v>
      </c>
      <c r="AH174" s="21">
        <v>0.10425671084042967</v>
      </c>
      <c r="AI174" s="21">
        <v>378.11990868999999</v>
      </c>
    </row>
    <row r="175" spans="1:35" x14ac:dyDescent="0.25">
      <c r="A175" s="29" t="s">
        <v>60</v>
      </c>
      <c r="B175" s="21">
        <v>16275.489472970001</v>
      </c>
      <c r="C175" s="21">
        <v>1442.34083448</v>
      </c>
      <c r="D175" s="21">
        <v>8.8620427476261785</v>
      </c>
      <c r="E175" s="21">
        <v>2382.9245671399999</v>
      </c>
      <c r="F175" s="21">
        <v>14.641185268790299</v>
      </c>
      <c r="G175" s="21">
        <v>601.83107380999991</v>
      </c>
      <c r="H175" s="21">
        <v>3.6977755711096036</v>
      </c>
      <c r="I175" s="21">
        <v>421.78445413999998</v>
      </c>
      <c r="J175" s="21">
        <v>2.5915316085607807</v>
      </c>
      <c r="K175" s="21">
        <v>1891.2086788300003</v>
      </c>
      <c r="L175" s="21">
        <v>11.619980351256906</v>
      </c>
      <c r="M175" s="21">
        <v>1240.8080833099998</v>
      </c>
      <c r="N175" s="21">
        <v>7.6237835142882089</v>
      </c>
      <c r="O175" s="21">
        <v>1233.7745069099999</v>
      </c>
      <c r="P175" s="21">
        <v>7.5805677547150108</v>
      </c>
      <c r="Q175" s="21">
        <v>5928.2283597900005</v>
      </c>
      <c r="R175" s="21">
        <v>36.424270800798219</v>
      </c>
      <c r="S175" s="21">
        <v>1694.4621032100001</v>
      </c>
      <c r="T175" s="21">
        <f t="shared" si="134"/>
        <v>10.411128378191808</v>
      </c>
      <c r="U175" s="21">
        <v>25.730262100000001</v>
      </c>
      <c r="V175" s="21">
        <v>0.15809209389820375</v>
      </c>
      <c r="W175" s="21">
        <v>0.12848107000000003</v>
      </c>
      <c r="X175" s="21">
        <v>7.8941447637183965E-4</v>
      </c>
      <c r="Y175" s="33">
        <v>221.79546790000151</v>
      </c>
      <c r="Z175" s="21">
        <v>1.1946057609523533</v>
      </c>
      <c r="AA175" s="21">
        <v>778.00503289999995</v>
      </c>
      <c r="AB175" s="21">
        <v>4.7802250997863673</v>
      </c>
      <c r="AC175" s="38">
        <v>85.587853460000005</v>
      </c>
      <c r="AD175" s="21">
        <v>0.52586961272127974</v>
      </c>
      <c r="AE175" s="21">
        <v>5.6588436</v>
      </c>
      <c r="AF175" s="21">
        <v>3.4769114682529773E-2</v>
      </c>
      <c r="AG175" s="21">
        <v>15.68297353</v>
      </c>
      <c r="AH175" s="21">
        <v>9.6359458534540296E-2</v>
      </c>
      <c r="AI175" s="21">
        <v>392.88928897</v>
      </c>
    </row>
    <row r="176" spans="1:35" x14ac:dyDescent="0.25">
      <c r="A176" s="29" t="s">
        <v>61</v>
      </c>
      <c r="B176" s="21">
        <v>16444.561727330001</v>
      </c>
      <c r="C176" s="21">
        <v>1472.5995942200004</v>
      </c>
      <c r="D176" s="21">
        <v>8.9549336652287739</v>
      </c>
      <c r="E176" s="21">
        <v>2467.0027956899999</v>
      </c>
      <c r="F176" s="21">
        <v>15.00193703301907</v>
      </c>
      <c r="G176" s="21">
        <v>596.22871301999999</v>
      </c>
      <c r="H176" s="21">
        <v>3.6256892880829965</v>
      </c>
      <c r="I176" s="21">
        <v>441.26909290999993</v>
      </c>
      <c r="J176" s="21">
        <v>2.6833739945567157</v>
      </c>
      <c r="K176" s="21">
        <v>1908.56788125</v>
      </c>
      <c r="L176" s="21">
        <v>11.606073259332049</v>
      </c>
      <c r="M176" s="21">
        <v>1265.5546495100002</v>
      </c>
      <c r="N176" s="21">
        <v>7.6958855486352951</v>
      </c>
      <c r="O176" s="21">
        <v>1271.1043572999999</v>
      </c>
      <c r="P176" s="21">
        <v>7.7296335309897071</v>
      </c>
      <c r="Q176" s="21">
        <v>5858.7337056699998</v>
      </c>
      <c r="R176" s="21">
        <v>35.627180601189821</v>
      </c>
      <c r="S176" s="21">
        <v>1703.4574499999999</v>
      </c>
      <c r="T176" s="21">
        <f t="shared" si="134"/>
        <v>10.35878899204071</v>
      </c>
      <c r="U176" s="21">
        <v>25.581052979999999</v>
      </c>
      <c r="V176" s="21">
        <v>0.15555934785106268</v>
      </c>
      <c r="W176" s="21">
        <v>0.86648340000000013</v>
      </c>
      <c r="X176" s="21">
        <v>5.2691182311046334E-3</v>
      </c>
      <c r="Y176" s="33">
        <v>198.09825160999975</v>
      </c>
      <c r="Z176" s="21">
        <v>1.0669709117527593</v>
      </c>
      <c r="AA176" s="21">
        <v>837.33076181000001</v>
      </c>
      <c r="AB176" s="21">
        <v>5.0918399389045446</v>
      </c>
      <c r="AC176" s="38">
        <v>82.34059705</v>
      </c>
      <c r="AD176" s="21">
        <v>0.500716275783466</v>
      </c>
      <c r="AE176" s="21">
        <v>6.9581468499999994</v>
      </c>
      <c r="AF176" s="21">
        <v>4.2312753391511332E-2</v>
      </c>
      <c r="AG176" s="21">
        <v>12.32564406</v>
      </c>
      <c r="AH176" s="21">
        <v>7.495270633765462E-2</v>
      </c>
      <c r="AI176" s="21">
        <v>493.77563256000002</v>
      </c>
    </row>
    <row r="177" spans="1:35" x14ac:dyDescent="0.25">
      <c r="A177" s="29" t="s">
        <v>72</v>
      </c>
      <c r="B177" s="35">
        <v>11757.786958620001</v>
      </c>
      <c r="C177" s="35">
        <v>1626.7461591053998</v>
      </c>
      <c r="D177" s="35">
        <v>13.835479115504651</v>
      </c>
      <c r="E177" s="35">
        <v>2069.2089661499999</v>
      </c>
      <c r="F177" s="35">
        <v>17.598626114185528</v>
      </c>
      <c r="G177" s="35">
        <v>315.473367</v>
      </c>
      <c r="H177" s="35">
        <v>2.6831015743886786</v>
      </c>
      <c r="I177" s="35">
        <v>429.24484704000002</v>
      </c>
      <c r="J177" s="35">
        <v>3.650728224203001</v>
      </c>
      <c r="K177" s="35">
        <v>546.19935485999997</v>
      </c>
      <c r="L177" s="35">
        <v>4.6454265312195009</v>
      </c>
      <c r="M177" s="35">
        <v>621.19473878999997</v>
      </c>
      <c r="N177" s="35">
        <v>5.2832624113382378</v>
      </c>
      <c r="O177" s="35">
        <v>1126.7102225399999</v>
      </c>
      <c r="P177" s="35">
        <v>9.5826725429309931</v>
      </c>
      <c r="Q177" s="35">
        <v>4606.4676968645999</v>
      </c>
      <c r="R177" s="35">
        <v>39.178016348454541</v>
      </c>
      <c r="S177" s="35">
        <v>1737.27283257</v>
      </c>
      <c r="T177" s="35">
        <v>14.775508679346764</v>
      </c>
      <c r="U177" s="35">
        <v>54.43873468999999</v>
      </c>
      <c r="V177" s="35">
        <v>0.46300154001420524</v>
      </c>
      <c r="W177" s="35">
        <v>1.0507229</v>
      </c>
      <c r="X177" s="35">
        <v>8.9364002230851967E-3</v>
      </c>
      <c r="Y177" s="36">
        <f t="shared" ref="Y177" si="135">((B177-C177-E177-G177-I177-K177-M177-W177-O177-Q177-U177-AA177-AC177-AE177-AG177))</f>
        <v>146.752711860001</v>
      </c>
      <c r="Z177" s="35">
        <v>1.2481320879216304</v>
      </c>
      <c r="AA177" s="35">
        <v>185.00134285000001</v>
      </c>
      <c r="AB177" s="35">
        <v>1.573436765788393</v>
      </c>
      <c r="AC177" s="35">
        <v>0.50894074</v>
      </c>
      <c r="AD177" s="35">
        <v>4.3285419423838055E-3</v>
      </c>
      <c r="AE177" s="35">
        <v>9.1111433300000009</v>
      </c>
      <c r="AF177" s="35">
        <v>7.7490291005148176E-2</v>
      </c>
      <c r="AG177" s="35">
        <v>19.678009899999999</v>
      </c>
      <c r="AH177" s="35">
        <v>0.16736151088001672</v>
      </c>
      <c r="AI177" s="35">
        <v>200.48204397999999</v>
      </c>
    </row>
    <row r="178" spans="1:35" x14ac:dyDescent="0.25">
      <c r="A178" s="29" t="s">
        <v>50</v>
      </c>
      <c r="B178" s="21">
        <v>16705.157127140879</v>
      </c>
      <c r="C178" s="21">
        <v>1633.0919814715185</v>
      </c>
      <c r="D178" s="21">
        <v>9.8000000000000007</v>
      </c>
      <c r="E178" s="21">
        <v>2432.1883911200002</v>
      </c>
      <c r="F178" s="21">
        <v>14.559506220797063</v>
      </c>
      <c r="G178" s="21">
        <v>456.45552760999999</v>
      </c>
      <c r="H178" s="21">
        <v>2.7324228328771385</v>
      </c>
      <c r="I178" s="21">
        <v>447.62134210999994</v>
      </c>
      <c r="J178" s="21">
        <v>2.6795398493004852</v>
      </c>
      <c r="K178" s="21">
        <v>1988.4771307599999</v>
      </c>
      <c r="L178" s="21">
        <v>11.903372806528829</v>
      </c>
      <c r="M178" s="21">
        <v>1300.9434022400001</v>
      </c>
      <c r="N178" s="21">
        <v>7.7876753408464294</v>
      </c>
      <c r="O178" s="21">
        <v>1396.5374278200002</v>
      </c>
      <c r="P178" s="21">
        <v>8.3599179414544089</v>
      </c>
      <c r="Q178" s="21">
        <v>5814.0239082193621</v>
      </c>
      <c r="R178" s="21">
        <v>34.803766668996566</v>
      </c>
      <c r="S178" s="21">
        <v>1711.7619999999999</v>
      </c>
      <c r="T178" s="21">
        <f t="shared" si="134"/>
        <v>10.246907508693223</v>
      </c>
      <c r="U178" s="21">
        <v>26.687103869999998</v>
      </c>
      <c r="V178" s="21">
        <v>0.15975368364923334</v>
      </c>
      <c r="W178" s="21">
        <v>1.1237447199999999</v>
      </c>
      <c r="X178" s="21">
        <v>6.7269329551785609E-3</v>
      </c>
      <c r="Y178" s="33">
        <v>176.58580401999848</v>
      </c>
      <c r="Z178" s="21">
        <v>1.0570735891678589</v>
      </c>
      <c r="AA178" s="21">
        <v>916.53184925000005</v>
      </c>
      <c r="AB178" s="21">
        <v>5.4865203737647592</v>
      </c>
      <c r="AC178" s="21">
        <v>104.35102718</v>
      </c>
      <c r="AD178" s="21">
        <v>0.62466354782416755</v>
      </c>
      <c r="AE178" s="21">
        <v>5.2209040200000008</v>
      </c>
      <c r="AF178" s="21">
        <v>3.1253247007881145E-2</v>
      </c>
      <c r="AG178" s="21">
        <v>5.3175827299999998</v>
      </c>
      <c r="AH178" s="21">
        <v>3.1831982719638836E-2</v>
      </c>
      <c r="AI178" s="21">
        <v>505.58008373999996</v>
      </c>
    </row>
    <row r="179" spans="1:35" x14ac:dyDescent="0.25">
      <c r="A179" s="29" t="s">
        <v>51</v>
      </c>
      <c r="B179" s="21">
        <v>15878.566380650882</v>
      </c>
      <c r="C179" s="21">
        <v>1556.4403998315188</v>
      </c>
      <c r="D179" s="21">
        <v>9.802146884797784</v>
      </c>
      <c r="E179" s="21">
        <v>2313.3581660300006</v>
      </c>
      <c r="F179" s="21">
        <v>14.569061907559774</v>
      </c>
      <c r="G179" s="21">
        <v>416.11039373999995</v>
      </c>
      <c r="H179" s="21">
        <v>2.6205791112669901</v>
      </c>
      <c r="I179" s="21">
        <v>449.25813369000002</v>
      </c>
      <c r="J179" s="21">
        <v>2.8293368741239244</v>
      </c>
      <c r="K179" s="21">
        <v>1910.7982732099999</v>
      </c>
      <c r="L179" s="21">
        <v>12.033821110817902</v>
      </c>
      <c r="M179" s="21">
        <v>1256.8620616200003</v>
      </c>
      <c r="N179" s="21">
        <v>7.9154630933909287</v>
      </c>
      <c r="O179" s="21">
        <v>1269.7328849800001</v>
      </c>
      <c r="P179" s="21">
        <v>7.9965209360919154</v>
      </c>
      <c r="Q179" s="21">
        <v>5528.6464069993617</v>
      </c>
      <c r="R179" s="21">
        <v>34.818297033014233</v>
      </c>
      <c r="S179" s="21">
        <v>1696.1</v>
      </c>
      <c r="T179" s="21">
        <f t="shared" si="134"/>
        <v>10.681694803800509</v>
      </c>
      <c r="U179" s="21">
        <v>24.691808430000002</v>
      </c>
      <c r="V179" s="21">
        <v>0.15550401615657605</v>
      </c>
      <c r="W179" s="21">
        <v>0.85797978000000008</v>
      </c>
      <c r="X179" s="21">
        <v>5.4033831482765797E-3</v>
      </c>
      <c r="Y179" s="33">
        <v>203.39080674999749</v>
      </c>
      <c r="Z179" s="21">
        <v>1.2809141699205484</v>
      </c>
      <c r="AA179" s="21">
        <v>837.5540947500001</v>
      </c>
      <c r="AB179" s="21">
        <v>5.2747463131849051</v>
      </c>
      <c r="AC179" s="21">
        <v>92.593869999999995</v>
      </c>
      <c r="AD179" s="21">
        <v>0.62466354782416755</v>
      </c>
      <c r="AE179" s="21">
        <v>6.4923982200000001</v>
      </c>
      <c r="AF179" s="21">
        <v>4.0887811055231225E-2</v>
      </c>
      <c r="AG179" s="21">
        <v>11.778702619999999</v>
      </c>
      <c r="AH179" s="21">
        <v>7.4179887136115466E-2</v>
      </c>
      <c r="AI179" s="21">
        <v>351.91985068999998</v>
      </c>
    </row>
    <row r="180" spans="1:35" x14ac:dyDescent="0.25">
      <c r="A180" s="29" t="s">
        <v>52</v>
      </c>
      <c r="B180" s="21">
        <v>15533.337990800879</v>
      </c>
      <c r="C180" s="21">
        <v>1590.3156047015189</v>
      </c>
      <c r="D180" s="21">
        <v>10.238080222314947</v>
      </c>
      <c r="E180" s="21">
        <v>2208.9530268800004</v>
      </c>
      <c r="F180" s="21">
        <v>14.220723376959812</v>
      </c>
      <c r="G180" s="21">
        <v>412.99326904999998</v>
      </c>
      <c r="H180" s="21">
        <v>2.6587541537728852</v>
      </c>
      <c r="I180" s="21">
        <v>449.73344159000004</v>
      </c>
      <c r="J180" s="21">
        <v>2.8952787987768001</v>
      </c>
      <c r="K180" s="21">
        <v>1878.1199399699999</v>
      </c>
      <c r="L180" s="21">
        <v>12.090897275796458</v>
      </c>
      <c r="M180" s="21">
        <v>1206.82030212</v>
      </c>
      <c r="N180" s="21">
        <v>7.7692270832882189</v>
      </c>
      <c r="O180" s="21">
        <v>1227.9482004599997</v>
      </c>
      <c r="P180" s="21">
        <v>7.9052435554239064</v>
      </c>
      <c r="Q180" s="21">
        <v>5393.342772469362</v>
      </c>
      <c r="R180" s="21">
        <v>34.72108039922518</v>
      </c>
      <c r="S180" s="21">
        <v>1721.44100549112</v>
      </c>
      <c r="T180" s="21">
        <f t="shared" si="134"/>
        <v>11.082234909911753</v>
      </c>
      <c r="U180" s="21">
        <v>24.29545804</v>
      </c>
      <c r="V180" s="21">
        <v>0.15640848125746187</v>
      </c>
      <c r="W180" s="21">
        <v>0.83230442999999998</v>
      </c>
      <c r="X180" s="21">
        <v>5.3581814191702107E-3</v>
      </c>
      <c r="Y180" s="33">
        <v>197.96938175999983</v>
      </c>
      <c r="Z180" s="21">
        <v>1.2744806163185327</v>
      </c>
      <c r="AA180" s="21">
        <v>834.08220318000008</v>
      </c>
      <c r="AB180" s="21">
        <v>5.3696263074553485</v>
      </c>
      <c r="AC180" s="21">
        <v>89.57096605000001</v>
      </c>
      <c r="AD180" s="21">
        <v>0.5766369475964892</v>
      </c>
      <c r="AE180" s="21">
        <v>7.64377876</v>
      </c>
      <c r="AF180" s="21">
        <v>4.9208861382703334E-2</v>
      </c>
      <c r="AG180" s="21">
        <v>10.717341340000001</v>
      </c>
      <c r="AH180" s="21">
        <v>6.899573901209774E-2</v>
      </c>
      <c r="AI180" s="21">
        <v>337.94174466999993</v>
      </c>
    </row>
    <row r="181" spans="1:35" x14ac:dyDescent="0.25">
      <c r="A181" s="29" t="s">
        <v>53</v>
      </c>
      <c r="B181" s="21">
        <v>15453.511481964539</v>
      </c>
      <c r="C181" s="21">
        <v>1594.0350948091698</v>
      </c>
      <c r="D181" s="21">
        <v>10.315034849325565</v>
      </c>
      <c r="E181" s="21">
        <v>2198.85558391</v>
      </c>
      <c r="F181" s="21">
        <v>14.228841040279013</v>
      </c>
      <c r="G181" s="21">
        <v>549.18912821000004</v>
      </c>
      <c r="H181" s="21">
        <v>3.5538144767352517</v>
      </c>
      <c r="I181" s="21">
        <v>448.99543146999997</v>
      </c>
      <c r="J181" s="21">
        <v>2.9054589437100615</v>
      </c>
      <c r="K181" s="21">
        <v>1863.7355609900001</v>
      </c>
      <c r="L181" s="21">
        <v>12.0602722764022</v>
      </c>
      <c r="M181" s="21">
        <v>1209.2591003900002</v>
      </c>
      <c r="N181" s="21">
        <v>7.8251412425020721</v>
      </c>
      <c r="O181" s="21">
        <v>1208.8966163100001</v>
      </c>
      <c r="P181" s="21">
        <v>7.8227956003454446</v>
      </c>
      <c r="Q181" s="21">
        <v>5230.1978226953688</v>
      </c>
      <c r="R181" s="21">
        <v>33.844720850658575</v>
      </c>
      <c r="S181" s="21">
        <v>1721.5024074640748</v>
      </c>
      <c r="T181" s="21">
        <f t="shared" si="134"/>
        <v>11.139878528405685</v>
      </c>
      <c r="U181" s="21">
        <v>24.054855759999999</v>
      </c>
      <c r="V181" s="21">
        <v>0.15565948094110457</v>
      </c>
      <c r="W181" s="21">
        <v>0.90448993</v>
      </c>
      <c r="X181" s="21">
        <v>5.852973487971396E-3</v>
      </c>
      <c r="Y181" s="33">
        <v>199.76183430999833</v>
      </c>
      <c r="Z181" s="21">
        <v>1.2926630594162114</v>
      </c>
      <c r="AA181" s="21">
        <v>824.36959184</v>
      </c>
      <c r="AB181" s="21">
        <v>5.3345130833345165</v>
      </c>
      <c r="AC181" s="21">
        <v>87.899573559999993</v>
      </c>
      <c r="AD181" s="21">
        <v>0.56880000162154543</v>
      </c>
      <c r="AE181" s="21">
        <v>4.0636253099999999</v>
      </c>
      <c r="AF181" s="21">
        <v>2.6295805420939896E-2</v>
      </c>
      <c r="AG181" s="21">
        <v>9.2931724699999982</v>
      </c>
      <c r="AH181" s="21">
        <v>6.0136315819520114E-2</v>
      </c>
      <c r="AI181" s="21">
        <v>252.08392524999999</v>
      </c>
    </row>
    <row r="182" spans="1:35" x14ac:dyDescent="0.25">
      <c r="A182" s="29" t="s">
        <v>54</v>
      </c>
      <c r="B182" s="21">
        <v>14794.004973694538</v>
      </c>
      <c r="C182" s="21">
        <v>1739.7585750491703</v>
      </c>
      <c r="D182" s="21">
        <v>11.759889077654519</v>
      </c>
      <c r="E182" s="21">
        <v>2191.76009527</v>
      </c>
      <c r="F182" s="21">
        <v>14.815191012624398</v>
      </c>
      <c r="G182" s="21">
        <v>556.35645809999994</v>
      </c>
      <c r="H182" s="21">
        <v>3.7606885970990711</v>
      </c>
      <c r="I182" s="21">
        <v>438.52466076000002</v>
      </c>
      <c r="J182" s="21">
        <v>2.9642051732424579</v>
      </c>
      <c r="K182" s="21">
        <v>1756.9748668100003</v>
      </c>
      <c r="L182" s="21">
        <v>11.876262512646885</v>
      </c>
      <c r="M182" s="21">
        <v>1074.7136205200002</v>
      </c>
      <c r="N182" s="21">
        <v>7.2645211518514827</v>
      </c>
      <c r="O182" s="21">
        <v>1002.0524992200001</v>
      </c>
      <c r="P182" s="21">
        <v>6.7733686787436254</v>
      </c>
      <c r="Q182" s="21">
        <v>5165.5506237453683</v>
      </c>
      <c r="R182" s="21">
        <v>34.916512688283653</v>
      </c>
      <c r="S182" s="21">
        <v>1731.4693193514599</v>
      </c>
      <c r="T182" s="21">
        <f t="shared" si="134"/>
        <v>11.703857896696762</v>
      </c>
      <c r="U182" s="21">
        <v>24.147527599999997</v>
      </c>
      <c r="V182" s="21">
        <v>0.16322508774964664</v>
      </c>
      <c r="W182" s="21">
        <v>0.81735442000000003</v>
      </c>
      <c r="X182" s="21">
        <v>5.5249029688265701E-3</v>
      </c>
      <c r="Y182" s="33">
        <v>193.47472368000035</v>
      </c>
      <c r="Z182" s="21">
        <v>1.3077913926892746</v>
      </c>
      <c r="AA182" s="21">
        <v>603.15400468999997</v>
      </c>
      <c r="AB182" s="21">
        <v>4.0770163709048219</v>
      </c>
      <c r="AC182" s="21">
        <v>29.375546920000005</v>
      </c>
      <c r="AD182" s="21">
        <v>0.19856385726673165</v>
      </c>
      <c r="AE182" s="21">
        <v>6.5665530200000006</v>
      </c>
      <c r="AF182" s="21">
        <v>4.4386581129829926E-2</v>
      </c>
      <c r="AG182" s="21">
        <v>10.777863890000003</v>
      </c>
      <c r="AH182" s="21">
        <v>7.2852915144778568E-2</v>
      </c>
      <c r="AI182" s="21">
        <v>249.03715993</v>
      </c>
    </row>
    <row r="183" spans="1:35" x14ac:dyDescent="0.25">
      <c r="A183" s="29" t="s">
        <v>55</v>
      </c>
      <c r="B183" s="21">
        <v>13881.99544171454</v>
      </c>
      <c r="C183" s="21">
        <v>1810.7102516691702</v>
      </c>
      <c r="D183" s="21">
        <v>13.043587712383895</v>
      </c>
      <c r="E183" s="21">
        <v>2177.3745664100006</v>
      </c>
      <c r="F183" s="21">
        <v>15.68488172721282</v>
      </c>
      <c r="G183" s="21">
        <v>548.81614588000002</v>
      </c>
      <c r="H183" s="21">
        <v>3.953438453313717</v>
      </c>
      <c r="I183" s="21">
        <v>433.91264772</v>
      </c>
      <c r="J183" s="21">
        <v>3.1257224477694274</v>
      </c>
      <c r="K183" s="21">
        <v>891.91796591000002</v>
      </c>
      <c r="L183" s="21">
        <v>6.4249982623524104</v>
      </c>
      <c r="M183" s="21">
        <v>1043.4518445799999</v>
      </c>
      <c r="N183" s="21">
        <v>7.5165839735438293</v>
      </c>
      <c r="O183" s="21">
        <v>1022.7665849</v>
      </c>
      <c r="P183" s="21">
        <v>7.3675761470620396</v>
      </c>
      <c r="Q183" s="21">
        <v>5092.7102832653682</v>
      </c>
      <c r="R183" s="21">
        <v>36.685722197848357</v>
      </c>
      <c r="S183" s="21">
        <v>1730.5488938209501</v>
      </c>
      <c r="T183" s="21">
        <f t="shared" si="134"/>
        <v>12.466139331963454</v>
      </c>
      <c r="U183" s="21">
        <v>22.635603250000003</v>
      </c>
      <c r="V183" s="21">
        <v>0.163057273322403</v>
      </c>
      <c r="W183" s="21">
        <v>3.6050990600000006</v>
      </c>
      <c r="X183" s="21">
        <v>2.5969602678062406E-2</v>
      </c>
      <c r="Y183" s="33">
        <v>193.89592575</v>
      </c>
      <c r="Z183" s="21">
        <v>1.396743908785294</v>
      </c>
      <c r="AA183" s="21">
        <v>594.01621124000008</v>
      </c>
      <c r="AB183" s="21">
        <v>4.2790405293969336</v>
      </c>
      <c r="AC183" s="21">
        <v>28.811967760000002</v>
      </c>
      <c r="AD183" s="21">
        <v>0.20754918038239528</v>
      </c>
      <c r="AE183" s="21">
        <v>9.5312415500000007</v>
      </c>
      <c r="AF183" s="21">
        <v>6.8659016565869257E-2</v>
      </c>
      <c r="AG183" s="21">
        <v>7.8391027700000002</v>
      </c>
      <c r="AH183" s="21">
        <v>5.6469567382539117E-2</v>
      </c>
      <c r="AI183" s="21">
        <v>230.82488024000003</v>
      </c>
    </row>
    <row r="184" spans="1:35" x14ac:dyDescent="0.25">
      <c r="A184" s="29" t="s">
        <v>56</v>
      </c>
      <c r="B184" s="21">
        <v>12860.844876327879</v>
      </c>
      <c r="C184" s="21">
        <v>1812.8083793878807</v>
      </c>
      <c r="D184" s="21">
        <v>14.095562125351494</v>
      </c>
      <c r="E184" s="21">
        <v>2162.07498876</v>
      </c>
      <c r="F184" s="21">
        <v>16.81129824324054</v>
      </c>
      <c r="G184" s="21">
        <v>382.14144432000006</v>
      </c>
      <c r="H184" s="21">
        <v>2.9713556768216911</v>
      </c>
      <c r="I184" s="21">
        <v>451.76563483000001</v>
      </c>
      <c r="J184" s="21">
        <v>3.5127212805554917</v>
      </c>
      <c r="K184" s="21">
        <v>620.75840267000012</v>
      </c>
      <c r="L184" s="21">
        <v>4.8267311256711425</v>
      </c>
      <c r="M184" s="21">
        <v>639.03806921</v>
      </c>
      <c r="N184" s="21">
        <v>4.9688653844681374</v>
      </c>
      <c r="O184" s="21">
        <v>1059.3478198800001</v>
      </c>
      <c r="P184" s="21">
        <v>8.237000213180961</v>
      </c>
      <c r="Q184" s="21">
        <v>4965.9487587399999</v>
      </c>
      <c r="R184" s="21">
        <v>38.612927894655655</v>
      </c>
      <c r="S184" s="21">
        <v>1718.6468788899999</v>
      </c>
      <c r="T184" s="21">
        <f t="shared" si="134"/>
        <v>13.363405712585816</v>
      </c>
      <c r="U184" s="21">
        <v>28.949903320000001</v>
      </c>
      <c r="V184" s="21">
        <v>0.22510110026508603</v>
      </c>
      <c r="W184" s="21">
        <v>0.73333634000000003</v>
      </c>
      <c r="X184" s="21">
        <v>5.7020852599645655E-3</v>
      </c>
      <c r="Y184" s="33">
        <v>156.98297229999955</v>
      </c>
      <c r="Z184" s="21">
        <v>1.2206272123610471</v>
      </c>
      <c r="AA184" s="21">
        <v>561.67022979000001</v>
      </c>
      <c r="AB184" s="21">
        <v>4.3672887371795452</v>
      </c>
      <c r="AC184" s="21">
        <v>5.1087958499999999</v>
      </c>
      <c r="AD184" s="21">
        <v>3.9723641013689762E-2</v>
      </c>
      <c r="AE184" s="21">
        <v>4.7953018700000003</v>
      </c>
      <c r="AF184" s="21">
        <v>3.7286056368088231E-2</v>
      </c>
      <c r="AG184" s="21">
        <v>8.7208390599999994</v>
      </c>
      <c r="AH184" s="21">
        <v>6.7809223607477612E-2</v>
      </c>
      <c r="AI184" s="21">
        <v>229.55236088999999</v>
      </c>
    </row>
    <row r="185" spans="1:35" x14ac:dyDescent="0.25">
      <c r="A185" s="29" t="s">
        <v>57</v>
      </c>
      <c r="B185" s="21">
        <v>12376.60371008788</v>
      </c>
      <c r="C185" s="21">
        <v>1823.9887068678806</v>
      </c>
      <c r="D185" s="21">
        <v>14.737392822727207</v>
      </c>
      <c r="E185" s="21">
        <v>2108.4797816700002</v>
      </c>
      <c r="F185" s="21">
        <v>17.036012714468896</v>
      </c>
      <c r="G185" s="21">
        <v>368.85814570999997</v>
      </c>
      <c r="H185" s="21">
        <v>2.9802856611572071</v>
      </c>
      <c r="I185" s="21">
        <v>463.37619149999995</v>
      </c>
      <c r="J185" s="21">
        <v>3.7439688815624992</v>
      </c>
      <c r="K185" s="21">
        <v>541.41683345000001</v>
      </c>
      <c r="L185" s="21">
        <v>4.3745186169991355</v>
      </c>
      <c r="M185" s="21">
        <v>643.94114029000002</v>
      </c>
      <c r="N185" s="21">
        <v>5.2028905132119458</v>
      </c>
      <c r="O185" s="21">
        <v>1062.6630561699999</v>
      </c>
      <c r="P185" s="21">
        <v>8.5860635200256752</v>
      </c>
      <c r="Q185" s="21">
        <v>4923.0254892399998</v>
      </c>
      <c r="R185" s="21">
        <v>39.776869362209254</v>
      </c>
      <c r="S185" s="21">
        <v>1719.94967961</v>
      </c>
      <c r="T185" s="21">
        <f t="shared" si="134"/>
        <v>13.896782347552335</v>
      </c>
      <c r="U185" s="21">
        <v>30.774173200000003</v>
      </c>
      <c r="V185" s="21">
        <v>0.24864796450513071</v>
      </c>
      <c r="W185" s="21">
        <v>0.98246247000000009</v>
      </c>
      <c r="X185" s="21">
        <v>7.9380619515127399E-3</v>
      </c>
      <c r="Y185" s="33">
        <v>157.38130712000137</v>
      </c>
      <c r="Z185" s="21">
        <v>1.2716033477885662</v>
      </c>
      <c r="AA185" s="21">
        <v>233.70096344999999</v>
      </c>
      <c r="AB185" s="21">
        <v>1.8882479307268745</v>
      </c>
      <c r="AC185" s="21">
        <v>5.1217363799999998</v>
      </c>
      <c r="AD185" s="21">
        <v>4.1382405868141292E-2</v>
      </c>
      <c r="AE185" s="21">
        <v>4.3786712799999998</v>
      </c>
      <c r="AF185" s="21">
        <v>3.5378617450852426E-2</v>
      </c>
      <c r="AG185" s="21">
        <v>8.5150512899999988</v>
      </c>
      <c r="AH185" s="21">
        <v>6.8799579347115877E-2</v>
      </c>
      <c r="AI185" s="21">
        <v>224.28651430000002</v>
      </c>
    </row>
    <row r="186" spans="1:35" x14ac:dyDescent="0.25">
      <c r="A186" s="29" t="s">
        <v>58</v>
      </c>
      <c r="B186" s="21">
        <v>12437.248015267882</v>
      </c>
      <c r="C186" s="21">
        <v>1857.1320464578807</v>
      </c>
      <c r="D186" s="21">
        <v>14.932017470248063</v>
      </c>
      <c r="E186" s="21">
        <v>2201.8776762700004</v>
      </c>
      <c r="F186" s="21">
        <v>17.703897788055606</v>
      </c>
      <c r="G186" s="21">
        <v>358.21119185999999</v>
      </c>
      <c r="H186" s="21">
        <v>2.8801483368367529</v>
      </c>
      <c r="I186" s="21">
        <v>461.90863253000003</v>
      </c>
      <c r="J186" s="21">
        <v>3.713913495678177</v>
      </c>
      <c r="K186" s="21">
        <v>545.36222850000001</v>
      </c>
      <c r="L186" s="21">
        <v>4.3849107763270219</v>
      </c>
      <c r="M186" s="21">
        <v>637.74982553999996</v>
      </c>
      <c r="N186" s="21">
        <v>5.1277406766923246</v>
      </c>
      <c r="O186" s="21">
        <v>1060.9382462800002</v>
      </c>
      <c r="P186" s="21">
        <v>8.5303295791609166</v>
      </c>
      <c r="Q186" s="21">
        <v>4881.4658590100007</v>
      </c>
      <c r="R186" s="21">
        <v>39.248761888623157</v>
      </c>
      <c r="S186" s="21">
        <v>1719.9550818299999</v>
      </c>
      <c r="T186" s="21">
        <f t="shared" si="134"/>
        <v>13.829064755471585</v>
      </c>
      <c r="U186" s="21">
        <v>29.59538203</v>
      </c>
      <c r="V186" s="21">
        <v>0.23795764138231312</v>
      </c>
      <c r="W186" s="21">
        <v>0.69938106000000011</v>
      </c>
      <c r="X186" s="21">
        <v>5.6232782295685081E-3</v>
      </c>
      <c r="Y186" s="33">
        <v>157.91416146000026</v>
      </c>
      <c r="Z186" s="21">
        <v>1.2696873236438311</v>
      </c>
      <c r="AA186" s="21">
        <v>225.61981032</v>
      </c>
      <c r="AB186" s="21">
        <v>1.8140653787962628</v>
      </c>
      <c r="AC186" s="21">
        <v>3.11292437</v>
      </c>
      <c r="AD186" s="21">
        <v>2.5029044738664012E-2</v>
      </c>
      <c r="AE186" s="21">
        <v>6.4466103600000002</v>
      </c>
      <c r="AF186" s="21">
        <v>5.1833093238039349E-2</v>
      </c>
      <c r="AG186" s="21">
        <v>9.2140392199999983</v>
      </c>
      <c r="AH186" s="21">
        <v>7.408422834930127E-2</v>
      </c>
      <c r="AI186" s="21">
        <v>220.94180325999997</v>
      </c>
    </row>
    <row r="187" spans="1:35" x14ac:dyDescent="0.25">
      <c r="A187" s="29" t="s">
        <v>59</v>
      </c>
      <c r="B187" s="21">
        <v>12152.182179499998</v>
      </c>
      <c r="C187" s="21">
        <v>1889.6276242253998</v>
      </c>
      <c r="D187" s="21">
        <v>15.549697958059649</v>
      </c>
      <c r="E187" s="21">
        <v>2118.1524096100002</v>
      </c>
      <c r="F187" s="21">
        <v>17.430222640861952</v>
      </c>
      <c r="G187" s="21">
        <v>319.46786714000001</v>
      </c>
      <c r="H187" s="21">
        <v>2.628893003915981</v>
      </c>
      <c r="I187" s="21">
        <v>454.40625962000001</v>
      </c>
      <c r="J187" s="21">
        <v>3.7392976249694154</v>
      </c>
      <c r="K187" s="21">
        <v>543.87370874999999</v>
      </c>
      <c r="L187" s="21">
        <v>4.4755230025063506</v>
      </c>
      <c r="M187" s="21">
        <v>624.05637154999999</v>
      </c>
      <c r="N187" s="21">
        <v>5.1353441080133377</v>
      </c>
      <c r="O187" s="21">
        <v>1069.4876785700001</v>
      </c>
      <c r="P187" s="21">
        <v>8.800787074885708</v>
      </c>
      <c r="Q187" s="21">
        <v>4681.265679194601</v>
      </c>
      <c r="R187" s="21">
        <v>38.522016951750572</v>
      </c>
      <c r="S187" s="21">
        <v>1718.9648375899999</v>
      </c>
      <c r="T187" s="21">
        <f t="shared" si="134"/>
        <v>14.145318200461068</v>
      </c>
      <c r="U187" s="21">
        <v>46.116938259999998</v>
      </c>
      <c r="V187" s="21">
        <v>0.37949511930290597</v>
      </c>
      <c r="W187" s="21">
        <v>0.70003311999999995</v>
      </c>
      <c r="X187" s="21">
        <v>5.7605548506416719E-3</v>
      </c>
      <c r="Y187" s="33">
        <v>159.2986100299959</v>
      </c>
      <c r="Z187" s="21">
        <v>1.310864235550411</v>
      </c>
      <c r="AA187" s="21">
        <v>219.66620195000002</v>
      </c>
      <c r="AB187" s="21">
        <v>1.807627623626016</v>
      </c>
      <c r="AC187" s="21">
        <v>1.8505475100000002</v>
      </c>
      <c r="AD187" s="21">
        <v>1.5228108685876705E-2</v>
      </c>
      <c r="AE187" s="21">
        <v>6.4766020500000003</v>
      </c>
      <c r="AF187" s="21">
        <v>5.3295794568695973E-2</v>
      </c>
      <c r="AG187" s="21">
        <v>17.735647919999998</v>
      </c>
      <c r="AH187" s="21">
        <v>0.14594619845248016</v>
      </c>
      <c r="AI187" s="21">
        <v>214.54393543</v>
      </c>
    </row>
    <row r="188" spans="1:35" x14ac:dyDescent="0.25">
      <c r="A188" s="29" t="s">
        <v>60</v>
      </c>
      <c r="B188" s="21">
        <v>12226.17449557</v>
      </c>
      <c r="C188" s="21">
        <v>1890.3338067754</v>
      </c>
      <c r="D188" s="21">
        <v>15.461367801190296</v>
      </c>
      <c r="E188" s="21">
        <v>2105.5968643599995</v>
      </c>
      <c r="F188" s="21">
        <v>17.22204165434524</v>
      </c>
      <c r="G188" s="21">
        <v>412.15867679999997</v>
      </c>
      <c r="H188" s="21">
        <v>3.371117244804092</v>
      </c>
      <c r="I188" s="21">
        <v>452.46003726999999</v>
      </c>
      <c r="J188" s="21">
        <v>3.7007490563294612</v>
      </c>
      <c r="K188" s="21">
        <v>540.18684793999989</v>
      </c>
      <c r="L188" s="21">
        <v>4.4182818438893525</v>
      </c>
      <c r="M188" s="21">
        <v>634.47006240999997</v>
      </c>
      <c r="N188" s="21">
        <v>5.1894405943567401</v>
      </c>
      <c r="O188" s="21">
        <v>1069.57037728</v>
      </c>
      <c r="P188" s="21">
        <v>8.748201472730047</v>
      </c>
      <c r="Q188" s="21">
        <v>4672.2114963946005</v>
      </c>
      <c r="R188" s="21">
        <v>38.214827525057146</v>
      </c>
      <c r="S188" s="21">
        <v>1727.11176959</v>
      </c>
      <c r="T188" s="21">
        <f t="shared" si="134"/>
        <v>14.126346472609214</v>
      </c>
      <c r="U188" s="21">
        <v>45.974578739999998</v>
      </c>
      <c r="V188" s="21">
        <v>0.37603404692660247</v>
      </c>
      <c r="W188" s="21">
        <v>0.60282583000000001</v>
      </c>
      <c r="X188" s="21">
        <v>4.9306169335177272E-3</v>
      </c>
      <c r="Y188" s="33">
        <v>158.41378684000165</v>
      </c>
      <c r="Z188" s="21">
        <v>1.2956938157344384</v>
      </c>
      <c r="AA188" s="21">
        <v>213.11365314</v>
      </c>
      <c r="AB188" s="21">
        <v>1.7430935017099507</v>
      </c>
      <c r="AC188" s="21">
        <v>1.2492522400000001</v>
      </c>
      <c r="AD188" s="21">
        <v>1.0217850566852706E-2</v>
      </c>
      <c r="AE188" s="21">
        <v>7.6998169599999997</v>
      </c>
      <c r="AF188" s="21">
        <v>6.297813729707466E-2</v>
      </c>
      <c r="AG188" s="21">
        <v>22.132412590000001</v>
      </c>
      <c r="AH188" s="21">
        <v>0.18102483812920714</v>
      </c>
      <c r="AI188" s="21">
        <v>206.80815031000003</v>
      </c>
    </row>
    <row r="189" spans="1:35" x14ac:dyDescent="0.25">
      <c r="A189" s="29" t="s">
        <v>61</v>
      </c>
      <c r="B189" s="21">
        <v>11757.786958620001</v>
      </c>
      <c r="C189" s="21">
        <v>1626.7461591053998</v>
      </c>
      <c r="D189" s="21">
        <v>13.835479115504651</v>
      </c>
      <c r="E189" s="21">
        <v>2069.2089661499999</v>
      </c>
      <c r="F189" s="21">
        <v>17.598626114185528</v>
      </c>
      <c r="G189" s="21">
        <v>315.473367</v>
      </c>
      <c r="H189" s="21">
        <v>2.6831015743886786</v>
      </c>
      <c r="I189" s="21">
        <v>429.24484704000002</v>
      </c>
      <c r="J189" s="21">
        <v>3.650728224203001</v>
      </c>
      <c r="K189" s="21">
        <v>546.19935485999997</v>
      </c>
      <c r="L189" s="21">
        <v>4.6454265312195009</v>
      </c>
      <c r="M189" s="21">
        <v>621.19473878999997</v>
      </c>
      <c r="N189" s="21">
        <v>5.2832624113382378</v>
      </c>
      <c r="O189" s="21">
        <v>1126.7102225399999</v>
      </c>
      <c r="P189" s="21">
        <v>9.5826725429309931</v>
      </c>
      <c r="Q189" s="21">
        <v>4606.4676968645999</v>
      </c>
      <c r="R189" s="21">
        <v>39.178016348454541</v>
      </c>
      <c r="S189" s="21">
        <v>1737.27283257</v>
      </c>
      <c r="T189" s="21">
        <f t="shared" si="134"/>
        <v>14.775508679346764</v>
      </c>
      <c r="U189" s="21">
        <v>54.43873468999999</v>
      </c>
      <c r="V189" s="21">
        <v>0.46300154001420524</v>
      </c>
      <c r="W189" s="21">
        <v>1.0507229</v>
      </c>
      <c r="X189" s="21">
        <v>8.9364002230851967E-3</v>
      </c>
      <c r="Y189" s="33">
        <v>146.752711860001</v>
      </c>
      <c r="Z189" s="21">
        <v>1.2481320879216304</v>
      </c>
      <c r="AA189" s="21">
        <v>185.00134285000001</v>
      </c>
      <c r="AB189" s="21">
        <v>1.573436765788393</v>
      </c>
      <c r="AC189" s="21">
        <v>0.50894074</v>
      </c>
      <c r="AD189" s="21">
        <v>4.3285419423838055E-3</v>
      </c>
      <c r="AE189" s="21">
        <v>9.1111433300000009</v>
      </c>
      <c r="AF189" s="21">
        <v>7.7490291005148176E-2</v>
      </c>
      <c r="AG189" s="21">
        <v>19.678009899999999</v>
      </c>
      <c r="AH189" s="21">
        <v>0.16736151088001672</v>
      </c>
      <c r="AI189" s="21">
        <v>200.48204397999999</v>
      </c>
    </row>
    <row r="190" spans="1:35" x14ac:dyDescent="0.25">
      <c r="A190" s="29" t="s">
        <v>73</v>
      </c>
      <c r="B190" s="35">
        <v>13020.303367349999</v>
      </c>
      <c r="C190" s="35">
        <v>1584.9974706609999</v>
      </c>
      <c r="D190" s="35">
        <v>12.173276043902129</v>
      </c>
      <c r="E190" s="35">
        <v>2379.4941577499999</v>
      </c>
      <c r="F190" s="35">
        <v>18.275258959916957</v>
      </c>
      <c r="G190" s="35">
        <v>419.15198210000005</v>
      </c>
      <c r="H190" s="35">
        <v>3.2192182491774717</v>
      </c>
      <c r="I190" s="35">
        <v>469.97727143999992</v>
      </c>
      <c r="J190" s="35">
        <v>3.6095723592625757</v>
      </c>
      <c r="K190" s="35">
        <v>388.82759630999999</v>
      </c>
      <c r="L190" s="35">
        <v>2.9863174869260933</v>
      </c>
      <c r="M190" s="35">
        <v>706.61157455</v>
      </c>
      <c r="N190" s="35">
        <v>5.4269977788836687</v>
      </c>
      <c r="O190" s="35">
        <v>1370.6535793099999</v>
      </c>
      <c r="P190" s="35">
        <v>10.527047954559041</v>
      </c>
      <c r="Q190" s="35">
        <v>5319.6326080489998</v>
      </c>
      <c r="R190" s="35">
        <v>40.856441343668138</v>
      </c>
      <c r="S190" s="35">
        <v>1848</v>
      </c>
      <c r="T190" s="35">
        <v>14.193217683653097</v>
      </c>
      <c r="U190" s="35">
        <v>10.10455586</v>
      </c>
      <c r="V190" s="35">
        <v>7.7606147682690765E-2</v>
      </c>
      <c r="W190" s="35">
        <v>0.62470668000000007</v>
      </c>
      <c r="X190" s="35">
        <v>4.7979425853204643E-3</v>
      </c>
      <c r="Y190" s="36">
        <f t="shared" ref="Y190" si="136">((B190-C190-E190-G190-I190-K190-M190-W190-O190-Q190-U190-AA190-AC190-AE190-AG190))</f>
        <v>228.38757550000176</v>
      </c>
      <c r="Z190" s="35">
        <v>1.7540879736543735</v>
      </c>
      <c r="AA190" s="35">
        <v>41.455409499999995</v>
      </c>
      <c r="AB190" s="35">
        <v>0.31839050389528167</v>
      </c>
      <c r="AC190" s="35">
        <v>0.77153276999999998</v>
      </c>
      <c r="AD190" s="35">
        <v>5.9256128542650747E-3</v>
      </c>
      <c r="AE190" s="35">
        <v>27.702426319999997</v>
      </c>
      <c r="AF190" s="35">
        <v>0.21276329389887499</v>
      </c>
      <c r="AG190" s="35">
        <v>71.910920549999986</v>
      </c>
      <c r="AH190" s="35">
        <v>0.55229834913313469</v>
      </c>
      <c r="AI190" s="35">
        <v>293.92273483999998</v>
      </c>
    </row>
    <row r="191" spans="1:35" x14ac:dyDescent="0.25">
      <c r="A191" s="29" t="s">
        <v>50</v>
      </c>
      <c r="B191" s="21">
        <v>11656.141583430008</v>
      </c>
      <c r="C191" s="21">
        <v>1695.9035093999998</v>
      </c>
      <c r="D191" s="21">
        <f t="shared" ref="D191:D201" si="137">C191/B191*100</f>
        <v>14.549441573452068</v>
      </c>
      <c r="E191" s="21">
        <v>2033.0644596000002</v>
      </c>
      <c r="F191" s="21">
        <f t="shared" ref="F191:F201" si="138">E191/B191*100</f>
        <v>17.442002098620168</v>
      </c>
      <c r="G191" s="21">
        <v>305.74856043</v>
      </c>
      <c r="H191" s="21">
        <f t="shared" ref="H191:H201" si="139">G191/B191*100</f>
        <v>2.6230683476309364</v>
      </c>
      <c r="I191" s="21">
        <v>449.16146827999995</v>
      </c>
      <c r="J191" s="21">
        <f t="shared" ref="J191:J201" si="140">I191/B191*100</f>
        <v>3.8534318158807652</v>
      </c>
      <c r="K191" s="21">
        <v>545.36230222999995</v>
      </c>
      <c r="L191" s="21">
        <f t="shared" ref="L191:L201" si="141">K191/B191*100</f>
        <v>4.6787549578607495</v>
      </c>
      <c r="M191" s="21">
        <v>621.43168186000003</v>
      </c>
      <c r="N191" s="21">
        <f t="shared" ref="N191:N201" si="142">M191/B191*100</f>
        <v>5.3313669657496874</v>
      </c>
      <c r="O191" s="21">
        <v>1120.4296421500001</v>
      </c>
      <c r="P191" s="21">
        <f t="shared" ref="P191:P201" si="143">O191/B191*100</f>
        <v>9.6123544324716033</v>
      </c>
      <c r="Q191" s="21">
        <v>4522.7713711400074</v>
      </c>
      <c r="R191" s="21">
        <f t="shared" ref="R191:R201" si="144">Q191/B191*100</f>
        <v>38.801616630750537</v>
      </c>
      <c r="S191" s="21">
        <v>1691.9</v>
      </c>
      <c r="T191" s="21">
        <f t="shared" si="134"/>
        <v>14.515094792646909</v>
      </c>
      <c r="U191" s="21">
        <v>9.25763626</v>
      </c>
      <c r="V191" s="21">
        <f t="shared" ref="V191:V201" si="145">U191/B191*100</f>
        <v>7.9422819238575096E-2</v>
      </c>
      <c r="W191" s="21">
        <v>1.341513</v>
      </c>
      <c r="X191" s="21">
        <f t="shared" ref="X191:X201" si="146">W191/B191*100</f>
        <v>1.1509065760723525E-2</v>
      </c>
      <c r="Y191" s="33">
        <v>142.86199121000053</v>
      </c>
      <c r="Z191" s="21">
        <f t="shared" ref="Z191:Z201" si="147">Y191/B191*100</f>
        <v>1.2256370616936267</v>
      </c>
      <c r="AA191" s="21">
        <v>178.98514718000001</v>
      </c>
      <c r="AB191" s="21">
        <f t="shared" ref="AB191:AB201" si="148">AA191/B191*100</f>
        <v>1.5355436951318393</v>
      </c>
      <c r="AC191" s="21">
        <v>0.51234869999999999</v>
      </c>
      <c r="AD191" s="21">
        <f t="shared" ref="AD191:AD201" si="149">AC191/B191*100</f>
        <v>4.3955257091964142E-3</v>
      </c>
      <c r="AE191" s="21">
        <v>12.492797840000001</v>
      </c>
      <c r="AF191" s="21">
        <f t="shared" ref="AF191:AF201" si="150">AE191/B191*100</f>
        <v>0.10717781480759771</v>
      </c>
      <c r="AG191" s="21">
        <v>16.81715415</v>
      </c>
      <c r="AH191" s="21">
        <f t="shared" ref="AH191:AH201" si="151">AG191/B191*100</f>
        <v>0.14427719524192054</v>
      </c>
      <c r="AI191" s="21">
        <v>270.42810402999999</v>
      </c>
    </row>
    <row r="192" spans="1:35" x14ac:dyDescent="0.25">
      <c r="A192" s="29" t="s">
        <v>51</v>
      </c>
      <c r="B192" s="21">
        <v>11561.095831580007</v>
      </c>
      <c r="C192" s="21">
        <v>1700.8734333599998</v>
      </c>
      <c r="D192" s="21">
        <f t="shared" si="137"/>
        <v>14.71204337493627</v>
      </c>
      <c r="E192" s="21">
        <v>2001.28371584</v>
      </c>
      <c r="F192" s="21">
        <f t="shared" si="138"/>
        <v>17.310501919492289</v>
      </c>
      <c r="G192" s="21">
        <v>311.36558755999999</v>
      </c>
      <c r="H192" s="21">
        <f t="shared" si="139"/>
        <v>2.6932186368482594</v>
      </c>
      <c r="I192" s="21">
        <v>442.10031948999995</v>
      </c>
      <c r="J192" s="21">
        <f t="shared" si="140"/>
        <v>3.8240347275936379</v>
      </c>
      <c r="K192" s="21">
        <v>514.88871754000002</v>
      </c>
      <c r="L192" s="21">
        <f t="shared" si="141"/>
        <v>4.4536324673785908</v>
      </c>
      <c r="M192" s="21">
        <v>658.35557799999992</v>
      </c>
      <c r="N192" s="21">
        <f t="shared" si="142"/>
        <v>5.6945776385803493</v>
      </c>
      <c r="O192" s="21">
        <v>983.26888072999998</v>
      </c>
      <c r="P192" s="21">
        <f t="shared" si="143"/>
        <v>8.5049799348961947</v>
      </c>
      <c r="Q192" s="21">
        <v>4575.2561789100064</v>
      </c>
      <c r="R192" s="21">
        <f t="shared" si="144"/>
        <v>39.574589170105732</v>
      </c>
      <c r="S192" s="21">
        <v>1746</v>
      </c>
      <c r="T192" s="21">
        <f t="shared" si="134"/>
        <v>15.102374596970893</v>
      </c>
      <c r="U192" s="21">
        <v>10.236170839999998</v>
      </c>
      <c r="V192" s="21">
        <f t="shared" si="145"/>
        <v>8.8539797516764135E-2</v>
      </c>
      <c r="W192" s="21">
        <v>1.32405332</v>
      </c>
      <c r="X192" s="21">
        <f t="shared" si="146"/>
        <v>1.1452662786370547E-2</v>
      </c>
      <c r="Y192" s="33">
        <v>149.00794968000136</v>
      </c>
      <c r="Z192" s="21">
        <f t="shared" si="147"/>
        <v>1.2888739255406472</v>
      </c>
      <c r="AA192" s="21">
        <v>177.35163441999998</v>
      </c>
      <c r="AB192" s="21">
        <f t="shared" si="148"/>
        <v>1.534038269413446</v>
      </c>
      <c r="AC192" s="21">
        <v>0.4919635</v>
      </c>
      <c r="AD192" s="21">
        <f t="shared" si="149"/>
        <v>4.2553362342708416E-3</v>
      </c>
      <c r="AE192" s="21">
        <v>16.21903154</v>
      </c>
      <c r="AF192" s="21">
        <f t="shared" si="150"/>
        <v>0.14028974222059892</v>
      </c>
      <c r="AG192" s="21">
        <v>19.072616850000003</v>
      </c>
      <c r="AH192" s="21">
        <f t="shared" si="151"/>
        <v>0.16497239645658596</v>
      </c>
      <c r="AI192" s="21">
        <v>252.69203856000001</v>
      </c>
    </row>
    <row r="193" spans="1:35" x14ac:dyDescent="0.25">
      <c r="A193" s="29" t="s">
        <v>52</v>
      </c>
      <c r="B193" s="21">
        <v>11663.483887770006</v>
      </c>
      <c r="C193" s="21">
        <v>1710.2045596400001</v>
      </c>
      <c r="D193" s="21">
        <f t="shared" si="137"/>
        <v>14.662896404677777</v>
      </c>
      <c r="E193" s="21">
        <v>2003.4947633800002</v>
      </c>
      <c r="F193" s="21">
        <f t="shared" si="138"/>
        <v>17.177498444361099</v>
      </c>
      <c r="G193" s="21">
        <v>311.66631981</v>
      </c>
      <c r="H193" s="21">
        <f t="shared" si="139"/>
        <v>2.6721545878483561</v>
      </c>
      <c r="I193" s="21">
        <v>451.24269704</v>
      </c>
      <c r="J193" s="21">
        <f t="shared" si="140"/>
        <v>3.8688500055558883</v>
      </c>
      <c r="K193" s="21">
        <v>529.35327649999988</v>
      </c>
      <c r="L193" s="21">
        <f t="shared" si="141"/>
        <v>4.5385519592054697</v>
      </c>
      <c r="M193" s="21">
        <v>654.13017887000001</v>
      </c>
      <c r="N193" s="21">
        <f t="shared" si="142"/>
        <v>5.6083601191913344</v>
      </c>
      <c r="O193" s="21">
        <v>992.91432654999994</v>
      </c>
      <c r="P193" s="21">
        <f t="shared" si="143"/>
        <v>8.5130166604091713</v>
      </c>
      <c r="Q193" s="21">
        <v>4635.1175896300083</v>
      </c>
      <c r="R193" s="21">
        <f t="shared" si="144"/>
        <v>39.740420908801184</v>
      </c>
      <c r="S193" s="21">
        <v>1761.5</v>
      </c>
      <c r="T193" s="21">
        <f t="shared" si="134"/>
        <v>15.102691588120237</v>
      </c>
      <c r="U193" s="21">
        <v>10.041762239999999</v>
      </c>
      <c r="V193" s="21">
        <f t="shared" si="145"/>
        <v>8.609573551629375E-2</v>
      </c>
      <c r="W193" s="21">
        <v>0.98612861000000007</v>
      </c>
      <c r="X193" s="21">
        <f t="shared" si="146"/>
        <v>8.4548375038613136E-3</v>
      </c>
      <c r="Y193" s="33">
        <v>148.59153968999695</v>
      </c>
      <c r="Z193" s="21">
        <f t="shared" si="147"/>
        <v>1.2739893253147609</v>
      </c>
      <c r="AA193" s="21">
        <v>178.25387185</v>
      </c>
      <c r="AB193" s="21">
        <f t="shared" si="148"/>
        <v>1.5283072670671916</v>
      </c>
      <c r="AC193" s="21">
        <v>0.61231402999999995</v>
      </c>
      <c r="AD193" s="21">
        <f t="shared" si="149"/>
        <v>5.2498381777854111E-3</v>
      </c>
      <c r="AE193" s="21">
        <v>16.954571259999998</v>
      </c>
      <c r="AF193" s="21">
        <f t="shared" si="150"/>
        <v>0.14536455336280849</v>
      </c>
      <c r="AG193" s="21">
        <v>19.919988670000002</v>
      </c>
      <c r="AH193" s="21">
        <f t="shared" si="151"/>
        <v>0.17078935300701645</v>
      </c>
      <c r="AI193" s="21">
        <v>237.51239071000001</v>
      </c>
    </row>
    <row r="194" spans="1:35" x14ac:dyDescent="0.25">
      <c r="A194" s="29" t="s">
        <v>53</v>
      </c>
      <c r="B194" s="21">
        <v>11815.783021536998</v>
      </c>
      <c r="C194" s="21">
        <v>1708.8377681700001</v>
      </c>
      <c r="D194" s="21">
        <f t="shared" si="137"/>
        <v>14.462331993192901</v>
      </c>
      <c r="E194" s="21">
        <v>1991.8046282800001</v>
      </c>
      <c r="F194" s="21">
        <f t="shared" si="138"/>
        <v>16.857153052400129</v>
      </c>
      <c r="G194" s="21">
        <v>308.65081077000002</v>
      </c>
      <c r="H194" s="21">
        <f t="shared" si="139"/>
        <v>2.6121909162296948</v>
      </c>
      <c r="I194" s="21">
        <v>455.91897537</v>
      </c>
      <c r="J194" s="21">
        <f t="shared" si="140"/>
        <v>3.8585591368678838</v>
      </c>
      <c r="K194" s="21">
        <v>515.33990113000004</v>
      </c>
      <c r="L194" s="21">
        <f t="shared" si="141"/>
        <v>4.3614536606729644</v>
      </c>
      <c r="M194" s="21">
        <v>675.17201417000001</v>
      </c>
      <c r="N194" s="21">
        <f t="shared" si="142"/>
        <v>5.7141537969962952</v>
      </c>
      <c r="O194" s="21">
        <v>1104.84376737</v>
      </c>
      <c r="P194" s="21">
        <f t="shared" si="143"/>
        <v>9.3505759656906928</v>
      </c>
      <c r="Q194" s="21">
        <v>4689.4034377270009</v>
      </c>
      <c r="R194" s="21">
        <f t="shared" si="144"/>
        <v>39.68762314930359</v>
      </c>
      <c r="S194" s="21">
        <v>1768.1</v>
      </c>
      <c r="T194" s="21">
        <f t="shared" si="134"/>
        <v>14.963883449596432</v>
      </c>
      <c r="U194" s="21">
        <v>9.8467782799999988</v>
      </c>
      <c r="V194" s="21">
        <f t="shared" si="145"/>
        <v>8.3335808232530728E-2</v>
      </c>
      <c r="W194" s="21">
        <v>0.91174432999999999</v>
      </c>
      <c r="X194" s="21">
        <f t="shared" si="146"/>
        <v>7.7163259374189164E-3</v>
      </c>
      <c r="Y194" s="33">
        <v>149.40151352999578</v>
      </c>
      <c r="Z194" s="21">
        <f t="shared" si="147"/>
        <v>1.2644232993926596</v>
      </c>
      <c r="AA194" s="21">
        <v>173.99071329999998</v>
      </c>
      <c r="AB194" s="21">
        <f t="shared" si="148"/>
        <v>1.4725279990573765</v>
      </c>
      <c r="AC194" s="21">
        <v>0.69973138999999995</v>
      </c>
      <c r="AD194" s="21">
        <f t="shared" si="149"/>
        <v>5.9220060890131246E-3</v>
      </c>
      <c r="AE194" s="21">
        <v>10.697020489999998</v>
      </c>
      <c r="AF194" s="21">
        <f t="shared" si="150"/>
        <v>9.0531625965898352E-2</v>
      </c>
      <c r="AG194" s="21">
        <v>20.26421723</v>
      </c>
      <c r="AH194" s="21">
        <f t="shared" si="151"/>
        <v>0.17150126397094273</v>
      </c>
      <c r="AI194" s="21">
        <v>260.86841077999998</v>
      </c>
    </row>
    <row r="195" spans="1:35" x14ac:dyDescent="0.25">
      <c r="A195" s="29" t="s">
        <v>54</v>
      </c>
      <c r="B195" s="21">
        <v>11945.500793076999</v>
      </c>
      <c r="C195" s="21">
        <v>1710.7977509899999</v>
      </c>
      <c r="D195" s="21">
        <f t="shared" si="137"/>
        <v>14.321691326507558</v>
      </c>
      <c r="E195" s="21">
        <v>1998.8300638600001</v>
      </c>
      <c r="F195" s="21">
        <f t="shared" si="138"/>
        <v>16.732911398896057</v>
      </c>
      <c r="G195" s="21">
        <v>302.60243201000003</v>
      </c>
      <c r="H195" s="21">
        <f t="shared" si="139"/>
        <v>2.5331916782038379</v>
      </c>
      <c r="I195" s="21">
        <v>466.14801505999998</v>
      </c>
      <c r="J195" s="21">
        <f t="shared" si="140"/>
        <v>3.9022894321028003</v>
      </c>
      <c r="K195" s="21">
        <v>510.15073849000004</v>
      </c>
      <c r="L195" s="21">
        <f t="shared" si="141"/>
        <v>4.2706517485282598</v>
      </c>
      <c r="M195" s="21">
        <v>691.65238806000002</v>
      </c>
      <c r="N195" s="21">
        <f t="shared" si="142"/>
        <v>5.790066067894335</v>
      </c>
      <c r="O195" s="21">
        <v>1101.37557242</v>
      </c>
      <c r="P195" s="21">
        <f t="shared" si="143"/>
        <v>9.2200033426668977</v>
      </c>
      <c r="Q195" s="21">
        <v>4799.8661793370002</v>
      </c>
      <c r="R195" s="21">
        <f t="shared" si="144"/>
        <v>40.181372572665659</v>
      </c>
      <c r="S195" s="21">
        <v>1772.7</v>
      </c>
      <c r="T195" s="21">
        <f t="shared" si="134"/>
        <v>14.8398968842509</v>
      </c>
      <c r="U195" s="21">
        <v>9.6516798700000006</v>
      </c>
      <c r="V195" s="21">
        <f t="shared" si="145"/>
        <v>8.0797616083150073E-2</v>
      </c>
      <c r="W195" s="21">
        <v>0.92797324000000003</v>
      </c>
      <c r="X195" s="21">
        <f t="shared" si="146"/>
        <v>7.768391263577713E-3</v>
      </c>
      <c r="Y195" s="33">
        <v>145.77561062999999</v>
      </c>
      <c r="Z195" s="21">
        <f t="shared" si="147"/>
        <v>1.2203390477734017</v>
      </c>
      <c r="AA195" s="21">
        <v>170.54333094</v>
      </c>
      <c r="AB195" s="21">
        <f t="shared" si="148"/>
        <v>1.4276783694061466</v>
      </c>
      <c r="AC195" s="21">
        <v>6.6814009999999993E-2</v>
      </c>
      <c r="AD195" s="21">
        <f t="shared" si="149"/>
        <v>5.5932364123839813E-4</v>
      </c>
      <c r="AE195" s="21">
        <v>14.495702170000001</v>
      </c>
      <c r="AF195" s="21">
        <f t="shared" si="150"/>
        <v>0.12134863511457777</v>
      </c>
      <c r="AG195" s="21">
        <v>22.616541990000002</v>
      </c>
      <c r="AH195" s="21">
        <f t="shared" si="151"/>
        <v>0.18933104925251348</v>
      </c>
      <c r="AI195" s="21">
        <v>258.20518451999999</v>
      </c>
    </row>
    <row r="196" spans="1:35" x14ac:dyDescent="0.25">
      <c r="A196" s="29" t="s">
        <v>55</v>
      </c>
      <c r="B196" s="21">
        <v>12105.576494017001</v>
      </c>
      <c r="C196" s="21">
        <v>1745.7337322799999</v>
      </c>
      <c r="D196" s="21">
        <f t="shared" si="137"/>
        <v>14.420905383091853</v>
      </c>
      <c r="E196" s="21">
        <v>2039.3072375500005</v>
      </c>
      <c r="F196" s="21">
        <f t="shared" si="138"/>
        <v>16.846015045693179</v>
      </c>
      <c r="G196" s="21">
        <v>296.57786396</v>
      </c>
      <c r="H196" s="21">
        <f t="shared" si="139"/>
        <v>2.449927635470968</v>
      </c>
      <c r="I196" s="21">
        <v>465.08444477000006</v>
      </c>
      <c r="J196" s="21">
        <f t="shared" si="140"/>
        <v>3.841902490144613</v>
      </c>
      <c r="K196" s="21">
        <v>515.03970698000001</v>
      </c>
      <c r="L196" s="21">
        <f t="shared" si="141"/>
        <v>4.2545657138637765</v>
      </c>
      <c r="M196" s="21">
        <v>682.88505590999989</v>
      </c>
      <c r="N196" s="21">
        <f t="shared" si="142"/>
        <v>5.641078359609768</v>
      </c>
      <c r="O196" s="21">
        <v>1157.44073469</v>
      </c>
      <c r="P196" s="21">
        <f t="shared" si="143"/>
        <v>9.5612194533820638</v>
      </c>
      <c r="Q196" s="21">
        <v>4824.1952573070002</v>
      </c>
      <c r="R196" s="21">
        <f t="shared" si="144"/>
        <v>39.851016262557067</v>
      </c>
      <c r="S196" s="21">
        <v>1772.7</v>
      </c>
      <c r="T196" s="21">
        <f t="shared" si="134"/>
        <v>14.643664437427912</v>
      </c>
      <c r="U196" s="21">
        <v>9.569948440000001</v>
      </c>
      <c r="V196" s="21">
        <f t="shared" si="145"/>
        <v>7.9054049550880981E-2</v>
      </c>
      <c r="W196" s="21">
        <v>2.8514884700000001</v>
      </c>
      <c r="X196" s="21">
        <f t="shared" si="146"/>
        <v>2.3555164608718183E-2</v>
      </c>
      <c r="Y196" s="21">
        <f>((B196-C196-E196-G196-I196-K196-M196-W196-O196-Q196-U196-AA196-AC196-AE196-AG196))</f>
        <v>145.70224299000151</v>
      </c>
      <c r="Z196" s="21">
        <f t="shared" si="147"/>
        <v>1.2035960704722544</v>
      </c>
      <c r="AA196" s="21">
        <v>170.57673489000001</v>
      </c>
      <c r="AB196" s="21">
        <f t="shared" si="148"/>
        <v>1.4090756848656072</v>
      </c>
      <c r="AC196" s="21">
        <v>6.7579589999999995E-2</v>
      </c>
      <c r="AD196" s="21">
        <f t="shared" si="149"/>
        <v>5.5825172831215587E-4</v>
      </c>
      <c r="AE196" s="21">
        <v>14.1270291</v>
      </c>
      <c r="AF196" s="21">
        <f t="shared" si="150"/>
        <v>0.11669852408088181</v>
      </c>
      <c r="AG196" s="21">
        <v>36.41743709</v>
      </c>
      <c r="AH196" s="21">
        <f t="shared" si="151"/>
        <v>0.30083191088007061</v>
      </c>
      <c r="AI196" s="21">
        <v>234.81492606</v>
      </c>
    </row>
    <row r="197" spans="1:35" x14ac:dyDescent="0.25">
      <c r="A197" s="29" t="s">
        <v>56</v>
      </c>
      <c r="B197" s="21">
        <v>12170.671456159998</v>
      </c>
      <c r="C197" s="21">
        <v>1782.0547715499999</v>
      </c>
      <c r="D197" s="21">
        <f t="shared" si="137"/>
        <v>14.642205879676757</v>
      </c>
      <c r="E197" s="21">
        <v>2029.3525126000002</v>
      </c>
      <c r="F197" s="21">
        <f t="shared" si="138"/>
        <v>16.67412122584966</v>
      </c>
      <c r="G197" s="21">
        <v>292.90927842999997</v>
      </c>
      <c r="H197" s="21">
        <f t="shared" si="139"/>
        <v>2.4066813362359598</v>
      </c>
      <c r="I197" s="21">
        <v>463.44302985000007</v>
      </c>
      <c r="J197" s="21">
        <f t="shared" si="140"/>
        <v>3.8078673926855164</v>
      </c>
      <c r="K197" s="21">
        <v>512.03328225999996</v>
      </c>
      <c r="L197" s="21">
        <f t="shared" si="141"/>
        <v>4.2071079159797895</v>
      </c>
      <c r="M197" s="21">
        <v>670.24153623999996</v>
      </c>
      <c r="N197" s="21">
        <f t="shared" si="142"/>
        <v>5.5070218488296101</v>
      </c>
      <c r="O197" s="21">
        <v>1176.20237238</v>
      </c>
      <c r="P197" s="21">
        <f t="shared" si="143"/>
        <v>9.6642356719331488</v>
      </c>
      <c r="Q197" s="21">
        <v>4874.4513295800007</v>
      </c>
      <c r="R197" s="21">
        <f t="shared" si="144"/>
        <v>40.050800378091481</v>
      </c>
      <c r="S197" s="21">
        <v>1716.3</v>
      </c>
      <c r="T197" s="21">
        <f t="shared" si="134"/>
        <v>14.101933539018679</v>
      </c>
      <c r="U197" s="21">
        <v>9.3917571599999992</v>
      </c>
      <c r="V197" s="21">
        <f t="shared" si="145"/>
        <v>7.7167124211922636E-2</v>
      </c>
      <c r="W197" s="21">
        <v>0.85998889000000001</v>
      </c>
      <c r="X197" s="21">
        <f t="shared" si="146"/>
        <v>7.0660759605397925E-3</v>
      </c>
      <c r="Y197" s="21">
        <v>149.41796925999719</v>
      </c>
      <c r="Z197" s="21">
        <f t="shared" si="147"/>
        <v>1.2276887910269862</v>
      </c>
      <c r="AA197" s="21">
        <v>167.49315672</v>
      </c>
      <c r="AB197" s="21">
        <f t="shared" si="148"/>
        <v>1.3762030905470373</v>
      </c>
      <c r="AC197" s="21">
        <v>6.8799920000000001E-2</v>
      </c>
      <c r="AD197" s="21">
        <f t="shared" si="149"/>
        <v>5.6529272232698361E-4</v>
      </c>
      <c r="AE197" s="21">
        <v>12.740721090000001</v>
      </c>
      <c r="AF197" s="21">
        <f t="shared" si="150"/>
        <v>0.10468379773370252</v>
      </c>
      <c r="AG197" s="21">
        <v>30.010950229999999</v>
      </c>
      <c r="AH197" s="21">
        <f t="shared" si="151"/>
        <v>0.246584178515561</v>
      </c>
      <c r="AI197" s="21">
        <v>240.19605958</v>
      </c>
    </row>
    <row r="198" spans="1:35" x14ac:dyDescent="0.25">
      <c r="A198" s="29" t="s">
        <v>57</v>
      </c>
      <c r="B198" s="21">
        <v>12306.538666899998</v>
      </c>
      <c r="C198" s="21">
        <v>1772.4388613299998</v>
      </c>
      <c r="D198" s="21">
        <f t="shared" si="137"/>
        <v>14.402415734468049</v>
      </c>
      <c r="E198" s="21">
        <v>2047.53815558</v>
      </c>
      <c r="F198" s="21">
        <f t="shared" si="138"/>
        <v>16.637807030884439</v>
      </c>
      <c r="G198" s="21">
        <v>292.92369737000001</v>
      </c>
      <c r="H198" s="21">
        <f t="shared" si="139"/>
        <v>2.3802281478045129</v>
      </c>
      <c r="I198" s="21">
        <v>461.87773043999994</v>
      </c>
      <c r="J198" s="21">
        <f t="shared" si="140"/>
        <v>3.7531083511099581</v>
      </c>
      <c r="K198" s="21">
        <v>504.56107226999995</v>
      </c>
      <c r="L198" s="21">
        <f t="shared" si="141"/>
        <v>4.0999430134411483</v>
      </c>
      <c r="M198" s="21">
        <v>682.60002989999998</v>
      </c>
      <c r="N198" s="21">
        <f t="shared" si="142"/>
        <v>5.5466451483709198</v>
      </c>
      <c r="O198" s="21">
        <v>1175.08520795</v>
      </c>
      <c r="P198" s="21">
        <f t="shared" si="143"/>
        <v>9.5484623236145296</v>
      </c>
      <c r="Q198" s="21">
        <v>4977.6642227699995</v>
      </c>
      <c r="R198" s="21">
        <f t="shared" si="144"/>
        <v>40.447313070717932</v>
      </c>
      <c r="S198" s="21">
        <v>1774.3</v>
      </c>
      <c r="T198" s="21">
        <f t="shared" si="134"/>
        <v>14.417538903706575</v>
      </c>
      <c r="U198" s="21">
        <v>9.4444079400000014</v>
      </c>
      <c r="V198" s="21">
        <f t="shared" si="145"/>
        <v>7.6743007888984568E-2</v>
      </c>
      <c r="W198" s="21">
        <v>0.92213625999999993</v>
      </c>
      <c r="X198" s="21">
        <f t="shared" si="146"/>
        <v>7.4930594617981629E-3</v>
      </c>
      <c r="Y198" s="21">
        <v>181.21926215999827</v>
      </c>
      <c r="Z198" s="21">
        <f t="shared" si="147"/>
        <v>1.4725445315294912</v>
      </c>
      <c r="AA198" s="21">
        <v>141.99075812999999</v>
      </c>
      <c r="AB198" s="21">
        <f t="shared" si="148"/>
        <v>1.1537830577163197</v>
      </c>
      <c r="AC198" s="21">
        <v>6.9456649999999995E-2</v>
      </c>
      <c r="AD198" s="21">
        <f t="shared" si="149"/>
        <v>5.6438818322500784E-4</v>
      </c>
      <c r="AE198" s="21">
        <v>18.18999762</v>
      </c>
      <c r="AF198" s="21">
        <f t="shared" si="150"/>
        <v>0.14780758515734657</v>
      </c>
      <c r="AG198" s="21">
        <v>40.013670529999999</v>
      </c>
      <c r="AH198" s="21">
        <f t="shared" si="151"/>
        <v>0.32514154965133985</v>
      </c>
      <c r="AI198" s="21">
        <v>262.58401571000002</v>
      </c>
    </row>
    <row r="199" spans="1:35" x14ac:dyDescent="0.25">
      <c r="A199" s="29" t="s">
        <v>58</v>
      </c>
      <c r="B199" s="21">
        <v>12302.424515589999</v>
      </c>
      <c r="C199" s="21">
        <v>1748.6649660999997</v>
      </c>
      <c r="D199" s="21">
        <f t="shared" si="137"/>
        <v>14.213986551057797</v>
      </c>
      <c r="E199" s="21">
        <v>2077.3704535000002</v>
      </c>
      <c r="F199" s="21">
        <f t="shared" si="138"/>
        <v>16.885862220633783</v>
      </c>
      <c r="G199" s="21">
        <v>286.35109136</v>
      </c>
      <c r="H199" s="21">
        <f t="shared" si="139"/>
        <v>2.3275988484800485</v>
      </c>
      <c r="I199" s="21">
        <v>463.80772493999996</v>
      </c>
      <c r="J199" s="21">
        <f t="shared" si="140"/>
        <v>3.7700513776959084</v>
      </c>
      <c r="K199" s="21">
        <v>387.96225466999994</v>
      </c>
      <c r="L199" s="21">
        <f t="shared" si="141"/>
        <v>3.1535430611938531</v>
      </c>
      <c r="M199" s="21">
        <v>677.75509700999999</v>
      </c>
      <c r="N199" s="21">
        <f t="shared" si="142"/>
        <v>5.5091181104271643</v>
      </c>
      <c r="O199" s="21">
        <v>1289.2964963599998</v>
      </c>
      <c r="P199" s="21">
        <f t="shared" si="143"/>
        <v>10.480019566274638</v>
      </c>
      <c r="Q199" s="21">
        <v>5051.0822655799993</v>
      </c>
      <c r="R199" s="21">
        <f t="shared" si="144"/>
        <v>41.057616400564925</v>
      </c>
      <c r="S199" s="21">
        <v>1786</v>
      </c>
      <c r="T199" s="21">
        <f t="shared" si="134"/>
        <v>14.517463592129564</v>
      </c>
      <c r="U199" s="21">
        <v>9.6398599600000008</v>
      </c>
      <c r="V199" s="21">
        <f t="shared" si="145"/>
        <v>7.8357399777451042E-2</v>
      </c>
      <c r="W199" s="21">
        <v>1.1714369100000002</v>
      </c>
      <c r="X199" s="21">
        <f t="shared" si="146"/>
        <v>9.5220003871230464E-3</v>
      </c>
      <c r="Y199" s="21">
        <v>181.86489376</v>
      </c>
      <c r="Z199" s="21">
        <f t="shared" si="147"/>
        <v>1.4782849797577329</v>
      </c>
      <c r="AA199" s="21">
        <v>52.941772020000002</v>
      </c>
      <c r="AB199" s="21">
        <f t="shared" si="148"/>
        <v>0.43033608499617787</v>
      </c>
      <c r="AC199" s="21">
        <v>0.14092945000000001</v>
      </c>
      <c r="AD199" s="21">
        <f t="shared" si="149"/>
        <v>1.1455420825497446E-3</v>
      </c>
      <c r="AE199" s="21">
        <v>23.458616839999998</v>
      </c>
      <c r="AF199" s="21">
        <f t="shared" si="150"/>
        <v>0.19068287564189107</v>
      </c>
      <c r="AG199" s="21">
        <v>50.916657130000004</v>
      </c>
      <c r="AH199" s="21">
        <f t="shared" si="151"/>
        <v>0.41387498102895814</v>
      </c>
      <c r="AI199" s="21">
        <v>253.50177575999999</v>
      </c>
    </row>
    <row r="200" spans="1:35" x14ac:dyDescent="0.25">
      <c r="A200" s="29" t="s">
        <v>59</v>
      </c>
      <c r="B200" s="21">
        <v>12281.298870979997</v>
      </c>
      <c r="C200" s="21">
        <v>1698.5633427609998</v>
      </c>
      <c r="D200" s="21">
        <f t="shared" si="137"/>
        <v>13.830486177440134</v>
      </c>
      <c r="E200" s="21">
        <v>2065.9290391599998</v>
      </c>
      <c r="F200" s="21">
        <f t="shared" si="138"/>
        <v>16.821747120263243</v>
      </c>
      <c r="G200" s="21">
        <v>275.53330493999999</v>
      </c>
      <c r="H200" s="21">
        <f t="shared" si="139"/>
        <v>2.2435192550445078</v>
      </c>
      <c r="I200" s="21">
        <v>468.10713691999996</v>
      </c>
      <c r="J200" s="21">
        <f t="shared" si="140"/>
        <v>3.8115442172497747</v>
      </c>
      <c r="K200" s="21">
        <v>375.56156014000004</v>
      </c>
      <c r="L200" s="21">
        <f t="shared" si="141"/>
        <v>3.0579954456399592</v>
      </c>
      <c r="M200" s="21">
        <v>687.42989109999996</v>
      </c>
      <c r="N200" s="21">
        <f t="shared" si="142"/>
        <v>5.5973712416066776</v>
      </c>
      <c r="O200" s="21">
        <v>1288.9801127799999</v>
      </c>
      <c r="P200" s="21">
        <f t="shared" si="143"/>
        <v>10.495470603893418</v>
      </c>
      <c r="Q200" s="21">
        <v>5106.5776463789998</v>
      </c>
      <c r="R200" s="21">
        <f t="shared" si="144"/>
        <v>41.580110540633036</v>
      </c>
      <c r="S200" s="21">
        <v>1804.7</v>
      </c>
      <c r="T200" s="21">
        <f t="shared" si="134"/>
        <v>14.694699794859664</v>
      </c>
      <c r="U200" s="21">
        <v>9.6000749600000006</v>
      </c>
      <c r="V200" s="21">
        <f t="shared" si="145"/>
        <v>7.816823823646557E-2</v>
      </c>
      <c r="W200" s="21">
        <v>1.0585298700000001</v>
      </c>
      <c r="X200" s="21">
        <f t="shared" si="146"/>
        <v>8.61903843494311E-3</v>
      </c>
      <c r="Y200" s="21">
        <v>181.80954275000002</v>
      </c>
      <c r="Z200" s="21">
        <f t="shared" si="147"/>
        <v>1.4803771544034769</v>
      </c>
      <c r="AA200" s="21">
        <v>50.153420240000003</v>
      </c>
      <c r="AB200" s="21">
        <f t="shared" si="148"/>
        <v>0.40837228021955929</v>
      </c>
      <c r="AC200" s="21">
        <v>0.13995804000000001</v>
      </c>
      <c r="AD200" s="21">
        <f t="shared" si="149"/>
        <v>1.1396029155410655E-3</v>
      </c>
      <c r="AE200" s="21">
        <v>19.638614440000001</v>
      </c>
      <c r="AF200" s="21">
        <f t="shared" si="150"/>
        <v>0.15990665683093924</v>
      </c>
      <c r="AG200" s="21">
        <v>52.216696500000012</v>
      </c>
      <c r="AH200" s="21">
        <f t="shared" si="151"/>
        <v>0.42517242718834125</v>
      </c>
      <c r="AI200" s="21">
        <v>276.41192297999999</v>
      </c>
    </row>
    <row r="201" spans="1:35" x14ac:dyDescent="0.25">
      <c r="A201" s="29" t="s">
        <v>60</v>
      </c>
      <c r="B201" s="21">
        <v>12564.15074323</v>
      </c>
      <c r="C201" s="21">
        <v>1688.6722504009999</v>
      </c>
      <c r="D201" s="21">
        <f t="shared" si="137"/>
        <v>13.440401065793603</v>
      </c>
      <c r="E201" s="21">
        <v>2084.2908867200003</v>
      </c>
      <c r="F201" s="21">
        <f t="shared" si="138"/>
        <v>16.58919038235106</v>
      </c>
      <c r="G201" s="21">
        <v>272.67751794999998</v>
      </c>
      <c r="H201" s="21">
        <f t="shared" si="139"/>
        <v>2.1702821266843526</v>
      </c>
      <c r="I201" s="21">
        <v>470.82333544999995</v>
      </c>
      <c r="J201" s="21">
        <f t="shared" si="140"/>
        <v>3.747355034749928</v>
      </c>
      <c r="K201" s="21">
        <v>401.68512582999995</v>
      </c>
      <c r="L201" s="21">
        <f t="shared" si="141"/>
        <v>3.1970734356752426</v>
      </c>
      <c r="M201" s="21">
        <v>685.55843461999996</v>
      </c>
      <c r="N201" s="21">
        <f t="shared" si="142"/>
        <v>5.4564645763216628</v>
      </c>
      <c r="O201" s="21">
        <v>1367.1655438299999</v>
      </c>
      <c r="P201" s="21">
        <f t="shared" si="143"/>
        <v>10.881479948548661</v>
      </c>
      <c r="Q201" s="21">
        <v>5297.7696438289995</v>
      </c>
      <c r="R201" s="21">
        <f t="shared" si="144"/>
        <v>42.165759963391245</v>
      </c>
      <c r="S201" s="21">
        <v>1820.3</v>
      </c>
      <c r="T201" s="21">
        <f t="shared" si="134"/>
        <v>14.488046484008008</v>
      </c>
      <c r="U201" s="21">
        <v>9.9738922899999984</v>
      </c>
      <c r="V201" s="21">
        <f t="shared" si="145"/>
        <v>7.9383736265455723E-2</v>
      </c>
      <c r="W201" s="21">
        <v>1.08985051</v>
      </c>
      <c r="X201" s="21">
        <f t="shared" si="146"/>
        <v>8.6742871227269321E-3</v>
      </c>
      <c r="Y201" s="21">
        <v>180.85586092999992</v>
      </c>
      <c r="Z201" s="21">
        <f t="shared" si="147"/>
        <v>1.4394594957200058</v>
      </c>
      <c r="AA201" s="21">
        <v>38.896891369999999</v>
      </c>
      <c r="AB201" s="21">
        <f t="shared" si="148"/>
        <v>0.30958631558093164</v>
      </c>
      <c r="AC201" s="21">
        <v>0.1367777</v>
      </c>
      <c r="AD201" s="21">
        <f t="shared" si="149"/>
        <v>1.0886346621851904E-3</v>
      </c>
      <c r="AE201" s="21">
        <v>20.116690760000001</v>
      </c>
      <c r="AF201" s="21">
        <f t="shared" si="150"/>
        <v>0.16011182268598276</v>
      </c>
      <c r="AG201" s="21">
        <v>44.438041040000002</v>
      </c>
      <c r="AH201" s="21">
        <f t="shared" si="151"/>
        <v>0.35368917444694586</v>
      </c>
      <c r="AI201" s="21">
        <v>292.73501434000002</v>
      </c>
    </row>
    <row r="202" spans="1:35" x14ac:dyDescent="0.25">
      <c r="A202" s="29" t="s">
        <v>61</v>
      </c>
      <c r="B202" s="21">
        <v>13020.303367349999</v>
      </c>
      <c r="C202" s="21">
        <v>1584.9974706609999</v>
      </c>
      <c r="D202" s="21">
        <f>C202/B202*100</f>
        <v>12.173276043902129</v>
      </c>
      <c r="E202" s="21">
        <v>2379.4941577499999</v>
      </c>
      <c r="F202" s="21">
        <f>E202/B202*100</f>
        <v>18.275258959916957</v>
      </c>
      <c r="G202" s="21">
        <v>419.15198210000005</v>
      </c>
      <c r="H202" s="21">
        <f>G202/B202*100</f>
        <v>3.2192182491774717</v>
      </c>
      <c r="I202" s="21">
        <v>469.97727143999992</v>
      </c>
      <c r="J202" s="21">
        <f>I202/B202*100</f>
        <v>3.6095723592625757</v>
      </c>
      <c r="K202" s="21">
        <v>388.82759630999999</v>
      </c>
      <c r="L202" s="21">
        <f>K202/B202*100</f>
        <v>2.9863174869260933</v>
      </c>
      <c r="M202" s="21">
        <v>706.61157455</v>
      </c>
      <c r="N202" s="21">
        <f>M202/B202*100</f>
        <v>5.4269977788836687</v>
      </c>
      <c r="O202" s="21">
        <v>1370.6535793099999</v>
      </c>
      <c r="P202" s="21">
        <f>O202/B202*100</f>
        <v>10.527047954559041</v>
      </c>
      <c r="Q202" s="21">
        <v>5319.6326080489998</v>
      </c>
      <c r="R202" s="21">
        <f>Q202/B202*100</f>
        <v>40.856441343668138</v>
      </c>
      <c r="S202" s="21">
        <v>1848</v>
      </c>
      <c r="T202" s="21">
        <f t="shared" si="134"/>
        <v>14.193217683653097</v>
      </c>
      <c r="U202" s="21">
        <v>10.10455586</v>
      </c>
      <c r="V202" s="21">
        <f>U202/B202*100</f>
        <v>7.7606147682690765E-2</v>
      </c>
      <c r="W202" s="21">
        <v>0.62470668000000007</v>
      </c>
      <c r="X202" s="21">
        <f>W202/B202*100</f>
        <v>4.7979425853204643E-3</v>
      </c>
      <c r="Y202" s="21">
        <v>228.38757550000176</v>
      </c>
      <c r="Z202" s="21">
        <f>Y202/B202*100</f>
        <v>1.7540879736543735</v>
      </c>
      <c r="AA202" s="21">
        <v>41.455409499999995</v>
      </c>
      <c r="AB202" s="21">
        <f>AA202/B202*100</f>
        <v>0.31839050389528167</v>
      </c>
      <c r="AC202" s="21">
        <v>0.77153276999999998</v>
      </c>
      <c r="AD202" s="21">
        <f>AC202/B202*100</f>
        <v>5.9256128542650747E-3</v>
      </c>
      <c r="AE202" s="21">
        <v>27.702426319999997</v>
      </c>
      <c r="AF202" s="21">
        <f>AE202/B202*100</f>
        <v>0.21276329389887499</v>
      </c>
      <c r="AG202" s="21">
        <v>71.910920549999986</v>
      </c>
      <c r="AH202" s="21">
        <f>AG202/B202*100</f>
        <v>0.55229834913313469</v>
      </c>
      <c r="AI202" s="21">
        <v>293.92273483999998</v>
      </c>
    </row>
    <row r="203" spans="1:35" x14ac:dyDescent="0.25">
      <c r="A203" s="29" t="s">
        <v>74</v>
      </c>
      <c r="B203" s="35">
        <v>15298.183505950003</v>
      </c>
      <c r="C203" s="35">
        <v>1273.0674075999998</v>
      </c>
      <c r="D203" s="35">
        <v>8.3216900039462782</v>
      </c>
      <c r="E203" s="35">
        <v>2491.3275571199997</v>
      </c>
      <c r="F203" s="35">
        <v>16.285120100376847</v>
      </c>
      <c r="G203" s="35">
        <v>619.39557024999999</v>
      </c>
      <c r="H203" s="35">
        <v>4.0488177567558603</v>
      </c>
      <c r="I203" s="35">
        <v>543.39684594000005</v>
      </c>
      <c r="J203" s="35">
        <v>3.5520350878825178</v>
      </c>
      <c r="K203" s="35">
        <v>477.13003762999995</v>
      </c>
      <c r="L203" s="35">
        <v>3.1188672658059517</v>
      </c>
      <c r="M203" s="35">
        <v>872.64787317000003</v>
      </c>
      <c r="N203" s="35">
        <v>5.704258109014031</v>
      </c>
      <c r="O203" s="35">
        <v>1204.2609666499998</v>
      </c>
      <c r="P203" s="35">
        <v>7.8719213047851095</v>
      </c>
      <c r="Q203" s="35">
        <v>6978.7193832900002</v>
      </c>
      <c r="R203" s="35">
        <v>45.617960985863</v>
      </c>
      <c r="S203" s="35">
        <v>1939.1</v>
      </c>
      <c r="T203" s="35">
        <v>12.7</v>
      </c>
      <c r="U203" s="35">
        <v>37.973435389999999</v>
      </c>
      <c r="V203" s="35">
        <v>0.2482218583352121</v>
      </c>
      <c r="W203" s="35">
        <v>0.24328217999999999</v>
      </c>
      <c r="X203" s="35">
        <v>1.5902684126215311E-3</v>
      </c>
      <c r="Y203" s="36">
        <f t="shared" ref="Y203" si="152">((B203-C203-E203-G203-I203-K203-M203-W203-O203-Q203-U203-AA203-AC203-AE203-AG203))</f>
        <v>673.78496844000256</v>
      </c>
      <c r="Z203" s="35">
        <v>4.4043462295895708</v>
      </c>
      <c r="AA203" s="35">
        <v>19.718746280000001</v>
      </c>
      <c r="AB203" s="35">
        <v>0.12889599783092343</v>
      </c>
      <c r="AC203" s="35">
        <v>1.4439694199999999</v>
      </c>
      <c r="AD203" s="35">
        <v>9.4388292534103111E-3</v>
      </c>
      <c r="AE203" s="35">
        <v>45.386333559999997</v>
      </c>
      <c r="AF203" s="35">
        <v>0.29667792612337052</v>
      </c>
      <c r="AG203" s="35">
        <v>59.687129029999994</v>
      </c>
      <c r="AH203" s="35">
        <v>0.3901582760252913</v>
      </c>
      <c r="AI203" s="35">
        <v>320.91820552000001</v>
      </c>
    </row>
    <row r="204" spans="1:35" x14ac:dyDescent="0.25">
      <c r="A204" s="29" t="s">
        <v>50</v>
      </c>
      <c r="B204" s="21">
        <v>12884.653253691562</v>
      </c>
      <c r="C204" s="21">
        <v>1569.3794872799997</v>
      </c>
      <c r="D204" s="21">
        <f>C204/B204*100</f>
        <v>12.180222908446209</v>
      </c>
      <c r="E204" s="21">
        <v>2272.8248868799997</v>
      </c>
      <c r="F204" s="21">
        <f>E204/B204*100</f>
        <v>17.639783097995409</v>
      </c>
      <c r="G204" s="21">
        <v>446.85101083000001</v>
      </c>
      <c r="H204" s="21">
        <f>G204/B204*100</f>
        <v>3.4680872044575461</v>
      </c>
      <c r="I204" s="21">
        <v>471.34954463000003</v>
      </c>
      <c r="J204" s="21">
        <f>I204/B204*100</f>
        <v>3.6582245198950494</v>
      </c>
      <c r="K204" s="21">
        <v>358.90494977999998</v>
      </c>
      <c r="L204" s="21">
        <f>K204/B204*100</f>
        <v>2.7855227666074032</v>
      </c>
      <c r="M204" s="21">
        <v>707.39239981999992</v>
      </c>
      <c r="N204" s="21">
        <f>M204/B204*100</f>
        <v>5.4901935340582488</v>
      </c>
      <c r="O204" s="21">
        <v>1368.1564542599999</v>
      </c>
      <c r="P204" s="21">
        <f>O204/B204*100</f>
        <v>10.618496495961283</v>
      </c>
      <c r="Q204" s="21">
        <v>5306.3037157915614</v>
      </c>
      <c r="R204" s="21">
        <f>Q204/B204*100</f>
        <v>41.183131678543702</v>
      </c>
      <c r="S204" s="21">
        <v>1799.3</v>
      </c>
      <c r="T204" s="21">
        <f t="shared" si="134"/>
        <v>13.964675374438077</v>
      </c>
      <c r="U204" s="21">
        <v>9.3712005299999994</v>
      </c>
      <c r="V204" s="21">
        <f>U204/B204*100</f>
        <v>7.2731491841389453E-2</v>
      </c>
      <c r="W204" s="21">
        <v>0.57836255000000003</v>
      </c>
      <c r="X204" s="21">
        <f>W204/B204*100</f>
        <v>4.4887707772368205E-3</v>
      </c>
      <c r="Y204" s="21">
        <v>229.92490340000211</v>
      </c>
      <c r="Z204" s="21">
        <f>Y204/B204*100</f>
        <v>1.7844865428111283</v>
      </c>
      <c r="AA204" s="21">
        <v>43.583414349999998</v>
      </c>
      <c r="AB204" s="21">
        <f>AA204/B204*100</f>
        <v>0.33825834108118497</v>
      </c>
      <c r="AC204" s="21">
        <v>7.2769729999999991E-2</v>
      </c>
      <c r="AD204" s="21">
        <f>AC204/B204*100</f>
        <v>5.6477833409409629E-4</v>
      </c>
      <c r="AE204" s="21">
        <v>26.704567149999999</v>
      </c>
      <c r="AF204" s="21">
        <f>AE204/B204*100</f>
        <v>0.20725871798178905</v>
      </c>
      <c r="AG204" s="21">
        <v>73.255586710000003</v>
      </c>
      <c r="AH204" s="21">
        <f>AG204/B204*100</f>
        <v>0.56854915120833116</v>
      </c>
      <c r="AI204" s="21">
        <v>288.55565068999999</v>
      </c>
    </row>
    <row r="205" spans="1:35" x14ac:dyDescent="0.25">
      <c r="A205" s="29" t="s">
        <v>51</v>
      </c>
      <c r="B205" s="21">
        <v>12974.579268571561</v>
      </c>
      <c r="C205" s="21">
        <v>1574.7213720900002</v>
      </c>
      <c r="D205" s="21">
        <f t="shared" ref="D205:D223" si="153">C205/B205*100</f>
        <v>12.136974459776601</v>
      </c>
      <c r="E205" s="21">
        <v>2293.6712597799997</v>
      </c>
      <c r="F205" s="21">
        <f t="shared" ref="F205:F223" si="154">E205/B205*100</f>
        <v>17.678193737934762</v>
      </c>
      <c r="G205" s="21">
        <v>443.61220577999995</v>
      </c>
      <c r="H205" s="21">
        <f t="shared" ref="H205:H223" si="155">G205/B205*100</f>
        <v>3.4190874062064252</v>
      </c>
      <c r="I205" s="21">
        <v>468.43110524000002</v>
      </c>
      <c r="J205" s="21">
        <f t="shared" ref="J205:J223" si="156">I205/B205*100</f>
        <v>3.6103760711122623</v>
      </c>
      <c r="K205" s="21">
        <v>373.11719791000002</v>
      </c>
      <c r="L205" s="21">
        <f t="shared" ref="L205:L223" si="157">K205/B205*100</f>
        <v>2.8757556617947926</v>
      </c>
      <c r="M205" s="21">
        <v>726.20821447999992</v>
      </c>
      <c r="N205" s="21">
        <f t="shared" ref="N205:N223" si="158">M205/B205*100</f>
        <v>5.5971619537529094</v>
      </c>
      <c r="O205" s="21">
        <v>1359.0258615700002</v>
      </c>
      <c r="P205" s="21">
        <f t="shared" ref="P205:P223" si="159">O205/B205*100</f>
        <v>10.474527408083132</v>
      </c>
      <c r="Q205" s="21">
        <v>5368.2099775915631</v>
      </c>
      <c r="R205" s="21">
        <f t="shared" ref="R205:R223" si="160">Q205/B205*100</f>
        <v>41.374828936418972</v>
      </c>
      <c r="S205" s="21">
        <v>1819.3</v>
      </c>
      <c r="T205" s="21">
        <f t="shared" si="134"/>
        <v>14.022034644367288</v>
      </c>
      <c r="U205" s="21">
        <v>9.2367638700000008</v>
      </c>
      <c r="V205" s="21">
        <f t="shared" ref="V205:V223" si="161">U205/B205*100</f>
        <v>7.1191240030220454E-2</v>
      </c>
      <c r="W205" s="21">
        <v>0.64177067999999993</v>
      </c>
      <c r="X205" s="21">
        <f t="shared" ref="X205:X223" si="162">W205/B205*100</f>
        <v>4.9463698723130611E-3</v>
      </c>
      <c r="Y205" s="21">
        <v>225.08568912999647</v>
      </c>
      <c r="Z205" s="21">
        <f t="shared" ref="Z205:Z219" si="163">Y205/B205*100</f>
        <v>1.7348207172715309</v>
      </c>
      <c r="AA205" s="21">
        <v>38.148750159999999</v>
      </c>
      <c r="AB205" s="21">
        <f t="shared" ref="AB205:AB219" si="164">AA205/B205*100</f>
        <v>0.29402687648152148</v>
      </c>
      <c r="AC205" s="21">
        <v>7.2792549999999998E-2</v>
      </c>
      <c r="AD205" s="21">
        <f t="shared" ref="AD205:AD219" si="165">AC205/B205*100</f>
        <v>5.6103977241347654E-4</v>
      </c>
      <c r="AE205" s="21">
        <v>24.699483720000003</v>
      </c>
      <c r="AF205" s="21">
        <f t="shared" ref="AF205:AF219" si="166">AE205/B205*100</f>
        <v>0.19036828253714388</v>
      </c>
      <c r="AG205" s="21">
        <v>69.696824019999994</v>
      </c>
      <c r="AH205" s="21">
        <f t="shared" ref="AH205:AH219" si="167">AG205/B205*100</f>
        <v>0.53717983895498811</v>
      </c>
      <c r="AI205" s="21">
        <v>312.71779347</v>
      </c>
    </row>
    <row r="206" spans="1:35" x14ac:dyDescent="0.25">
      <c r="A206" s="29" t="s">
        <v>52</v>
      </c>
      <c r="B206" s="21">
        <v>13058.033851711562</v>
      </c>
      <c r="C206" s="21">
        <v>1557.9521574100002</v>
      </c>
      <c r="D206" s="21">
        <f t="shared" si="153"/>
        <v>11.930985744885277</v>
      </c>
      <c r="E206" s="21">
        <v>2310.7309888799996</v>
      </c>
      <c r="F206" s="21">
        <f t="shared" si="154"/>
        <v>17.695856934672626</v>
      </c>
      <c r="G206" s="21">
        <v>444.14954216000001</v>
      </c>
      <c r="H206" s="21">
        <f t="shared" si="155"/>
        <v>3.4013508251227567</v>
      </c>
      <c r="I206" s="21">
        <v>477.07646024999997</v>
      </c>
      <c r="J206" s="21">
        <f t="shared" si="156"/>
        <v>3.6535091397964776</v>
      </c>
      <c r="K206" s="21">
        <v>370.20479340000003</v>
      </c>
      <c r="L206" s="21">
        <f t="shared" si="157"/>
        <v>2.8350730102562571</v>
      </c>
      <c r="M206" s="21">
        <v>748.73145756999998</v>
      </c>
      <c r="N206" s="21">
        <f t="shared" si="158"/>
        <v>5.7338759117388962</v>
      </c>
      <c r="O206" s="21">
        <v>1357.88037076</v>
      </c>
      <c r="P206" s="21">
        <f t="shared" si="159"/>
        <v>10.398811843959326</v>
      </c>
      <c r="Q206" s="21">
        <v>5432.2403626615633</v>
      </c>
      <c r="R206" s="21">
        <f t="shared" si="160"/>
        <v>41.600752642784279</v>
      </c>
      <c r="S206" s="21">
        <v>1827.6</v>
      </c>
      <c r="T206" s="21">
        <f t="shared" si="134"/>
        <v>13.995981483540495</v>
      </c>
      <c r="U206" s="21">
        <v>8.9344810799999994</v>
      </c>
      <c r="V206" s="21">
        <f t="shared" si="161"/>
        <v>6.8421334953339297E-2</v>
      </c>
      <c r="W206" s="21">
        <v>0.60361416999999995</v>
      </c>
      <c r="X206" s="21">
        <f t="shared" si="162"/>
        <v>4.6225502005486242E-3</v>
      </c>
      <c r="Y206" s="21">
        <v>225.01829643999946</v>
      </c>
      <c r="Z206" s="21">
        <f t="shared" si="163"/>
        <v>1.7232172852002947</v>
      </c>
      <c r="AA206" s="21">
        <v>35.956621589999997</v>
      </c>
      <c r="AB206" s="21">
        <f t="shared" si="164"/>
        <v>0.27536014991481311</v>
      </c>
      <c r="AC206" s="21">
        <v>1.5466275700000001</v>
      </c>
      <c r="AD206" s="21">
        <f t="shared" si="165"/>
        <v>1.1844260687050356E-2</v>
      </c>
      <c r="AE206" s="21">
        <v>25.358725029999999</v>
      </c>
      <c r="AF206" s="21">
        <f t="shared" si="166"/>
        <v>0.1942001783574496</v>
      </c>
      <c r="AG206" s="21">
        <v>61.649352739999998</v>
      </c>
      <c r="AH206" s="21">
        <f t="shared" si="167"/>
        <v>0.47211818747061529</v>
      </c>
      <c r="AI206" s="21">
        <v>269.86157463000001</v>
      </c>
    </row>
    <row r="207" spans="1:35" x14ac:dyDescent="0.25">
      <c r="A207" s="29" t="s">
        <v>53</v>
      </c>
      <c r="B207" s="21">
        <v>13011.354034490003</v>
      </c>
      <c r="C207" s="21">
        <v>1503.7811409499998</v>
      </c>
      <c r="D207" s="21">
        <f t="shared" si="153"/>
        <v>11.557453105678578</v>
      </c>
      <c r="E207" s="21">
        <v>2274.1529084900003</v>
      </c>
      <c r="F207" s="21">
        <f t="shared" si="154"/>
        <v>17.47821865781042</v>
      </c>
      <c r="G207" s="21">
        <v>447.9374740400001</v>
      </c>
      <c r="H207" s="21">
        <f t="shared" si="155"/>
        <v>3.4426660964925282</v>
      </c>
      <c r="I207" s="21">
        <v>479.45580126000004</v>
      </c>
      <c r="J207" s="21">
        <f t="shared" si="156"/>
        <v>3.6849032006129172</v>
      </c>
      <c r="K207" s="21">
        <v>357.37534450000004</v>
      </c>
      <c r="L207" s="21">
        <f t="shared" si="157"/>
        <v>2.7466422291844728</v>
      </c>
      <c r="M207" s="21">
        <v>763.7232715099999</v>
      </c>
      <c r="N207" s="21">
        <f t="shared" si="158"/>
        <v>5.869667903014177</v>
      </c>
      <c r="O207" s="21">
        <v>1271.92489125</v>
      </c>
      <c r="P207" s="21">
        <f t="shared" si="159"/>
        <v>9.7754998279074545</v>
      </c>
      <c r="Q207" s="21">
        <v>5515.7658784699997</v>
      </c>
      <c r="R207" s="21">
        <f t="shared" si="160"/>
        <v>42.391943711999666</v>
      </c>
      <c r="S207" s="21">
        <v>1835.2</v>
      </c>
      <c r="T207" s="21">
        <f t="shared" si="134"/>
        <v>14.104604295105041</v>
      </c>
      <c r="U207" s="21">
        <v>8.4807223</v>
      </c>
      <c r="V207" s="21">
        <f t="shared" si="161"/>
        <v>6.5179398527775226E-2</v>
      </c>
      <c r="W207" s="21">
        <v>0.54394122</v>
      </c>
      <c r="X207" s="21">
        <f t="shared" si="162"/>
        <v>4.1805120247911266E-3</v>
      </c>
      <c r="Y207" s="21">
        <v>254.24511208000368</v>
      </c>
      <c r="Z207" s="21">
        <f t="shared" si="163"/>
        <v>1.9540250108179396</v>
      </c>
      <c r="AA207" s="21">
        <v>35.449455960000002</v>
      </c>
      <c r="AB207" s="21">
        <f t="shared" si="164"/>
        <v>0.27245016826098134</v>
      </c>
      <c r="AC207" s="21">
        <v>1.9514988400000002</v>
      </c>
      <c r="AD207" s="21">
        <f t="shared" si="165"/>
        <v>1.4998430100564793E-2</v>
      </c>
      <c r="AE207" s="21">
        <v>31.556357089999999</v>
      </c>
      <c r="AF207" s="21">
        <f t="shared" si="166"/>
        <v>0.24252938630638754</v>
      </c>
      <c r="AG207" s="21">
        <v>65.010236530000014</v>
      </c>
      <c r="AH207" s="21">
        <f t="shared" si="167"/>
        <v>0.49964236126135181</v>
      </c>
      <c r="AI207" s="21">
        <v>279.47993210999999</v>
      </c>
    </row>
    <row r="208" spans="1:35" x14ac:dyDescent="0.25">
      <c r="A208" s="29" t="s">
        <v>54</v>
      </c>
      <c r="B208" s="21">
        <v>13197.974708330001</v>
      </c>
      <c r="C208" s="21">
        <v>1494.2622123900001</v>
      </c>
      <c r="D208" s="21">
        <f t="shared" si="153"/>
        <v>11.321905409069204</v>
      </c>
      <c r="E208" s="21">
        <v>2287.0035614600001</v>
      </c>
      <c r="F208" s="21">
        <f t="shared" si="154"/>
        <v>17.328443280138586</v>
      </c>
      <c r="G208" s="21">
        <v>444.37282797999995</v>
      </c>
      <c r="H208" s="21">
        <f t="shared" si="155"/>
        <v>3.3669774173724605</v>
      </c>
      <c r="I208" s="21">
        <v>497.36101735</v>
      </c>
      <c r="J208" s="21">
        <f t="shared" si="156"/>
        <v>3.7684646950875491</v>
      </c>
      <c r="K208" s="21">
        <v>365.80510866999998</v>
      </c>
      <c r="L208" s="21">
        <f t="shared" si="157"/>
        <v>2.7716760848095832</v>
      </c>
      <c r="M208" s="21">
        <v>772.91956983</v>
      </c>
      <c r="N208" s="21">
        <f t="shared" si="158"/>
        <v>5.8563498332980286</v>
      </c>
      <c r="O208" s="21">
        <v>1301.1727264900001</v>
      </c>
      <c r="P208" s="21">
        <f t="shared" si="159"/>
        <v>9.8588818000140215</v>
      </c>
      <c r="Q208" s="21">
        <v>5658.4731998100006</v>
      </c>
      <c r="R208" s="21">
        <f t="shared" si="160"/>
        <v>42.873799388618409</v>
      </c>
      <c r="S208" s="21">
        <v>1856.1</v>
      </c>
      <c r="T208" s="21">
        <f t="shared" si="134"/>
        <v>14.06352141915008</v>
      </c>
      <c r="U208" s="21">
        <v>8.3100535600000001</v>
      </c>
      <c r="V208" s="21">
        <f t="shared" si="161"/>
        <v>6.2964611947278912E-2</v>
      </c>
      <c r="W208" s="21">
        <v>0.56832296999999998</v>
      </c>
      <c r="X208" s="21">
        <f t="shared" si="162"/>
        <v>4.306137741280097E-3</v>
      </c>
      <c r="Y208" s="21">
        <v>231.69355309000051</v>
      </c>
      <c r="Z208" s="21">
        <f t="shared" si="163"/>
        <v>1.7555235421368505</v>
      </c>
      <c r="AA208" s="21">
        <v>35.036828829999997</v>
      </c>
      <c r="AB208" s="21">
        <f t="shared" si="164"/>
        <v>0.26547125300888957</v>
      </c>
      <c r="AC208" s="21">
        <v>1.5477815800000001</v>
      </c>
      <c r="AD208" s="21">
        <f t="shared" si="165"/>
        <v>1.1727417381873797E-2</v>
      </c>
      <c r="AE208" s="21">
        <v>33.602823399999998</v>
      </c>
      <c r="AF208" s="21">
        <f t="shared" si="166"/>
        <v>0.25460590842617181</v>
      </c>
      <c r="AG208" s="21">
        <v>65.845120920000028</v>
      </c>
      <c r="AH208" s="21">
        <f t="shared" si="167"/>
        <v>0.49890322094981271</v>
      </c>
      <c r="AI208" s="21">
        <v>295.46815784</v>
      </c>
    </row>
    <row r="209" spans="1:35" x14ac:dyDescent="0.25">
      <c r="A209" s="29" t="s">
        <v>55</v>
      </c>
      <c r="B209" s="21">
        <v>13482.586430900001</v>
      </c>
      <c r="C209" s="21">
        <v>1486.4636973599997</v>
      </c>
      <c r="D209" s="21">
        <f t="shared" si="153"/>
        <v>11.025063365833541</v>
      </c>
      <c r="E209" s="21">
        <v>2303.3447418799997</v>
      </c>
      <c r="F209" s="21">
        <f t="shared" si="154"/>
        <v>17.083849257595634</v>
      </c>
      <c r="G209" s="21">
        <v>445.14702732000001</v>
      </c>
      <c r="H209" s="21">
        <f t="shared" si="155"/>
        <v>3.3016441585702867</v>
      </c>
      <c r="I209" s="21">
        <v>501.88159487999997</v>
      </c>
      <c r="J209" s="21">
        <f t="shared" si="156"/>
        <v>3.722443000474783</v>
      </c>
      <c r="K209" s="21">
        <v>368.65257788000002</v>
      </c>
      <c r="L209" s="21">
        <f t="shared" si="157"/>
        <v>2.7342867762753991</v>
      </c>
      <c r="M209" s="21">
        <v>783.96987130999992</v>
      </c>
      <c r="N209" s="21">
        <f t="shared" si="158"/>
        <v>5.8146845586931475</v>
      </c>
      <c r="O209" s="21">
        <v>1335.5882296099999</v>
      </c>
      <c r="P209" s="21">
        <f t="shared" si="159"/>
        <v>9.9060238660813518</v>
      </c>
      <c r="Q209" s="21">
        <v>5801.781351300001</v>
      </c>
      <c r="R209" s="21">
        <f t="shared" si="160"/>
        <v>43.0316644438727</v>
      </c>
      <c r="S209" s="21">
        <v>1853.3</v>
      </c>
      <c r="T209" s="21">
        <f t="shared" si="134"/>
        <v>13.745878874935475</v>
      </c>
      <c r="U209" s="21">
        <v>8.0756254900000002</v>
      </c>
      <c r="V209" s="21">
        <f t="shared" si="161"/>
        <v>5.9896708479405085E-2</v>
      </c>
      <c r="W209" s="21">
        <v>1.8368338400000002</v>
      </c>
      <c r="X209" s="21">
        <f t="shared" si="162"/>
        <v>1.3623749785799714E-2</v>
      </c>
      <c r="Y209" s="21">
        <v>305.92554808000091</v>
      </c>
      <c r="Z209" s="21">
        <f t="shared" si="163"/>
        <v>2.2690419946344043</v>
      </c>
      <c r="AA209" s="21">
        <v>35.152942440000004</v>
      </c>
      <c r="AB209" s="21">
        <f t="shared" si="164"/>
        <v>0.26072847832397278</v>
      </c>
      <c r="AC209" s="21">
        <v>1.49027095</v>
      </c>
      <c r="AD209" s="21">
        <f t="shared" si="165"/>
        <v>1.1053301661649501E-2</v>
      </c>
      <c r="AE209" s="21">
        <v>35.29632178</v>
      </c>
      <c r="AF209" s="21">
        <f t="shared" si="166"/>
        <v>0.26179191923521655</v>
      </c>
      <c r="AG209" s="21">
        <v>67.979796780000015</v>
      </c>
      <c r="AH209" s="21">
        <f t="shared" si="167"/>
        <v>0.5042044204827113</v>
      </c>
      <c r="AI209" s="21">
        <v>297.81667455999997</v>
      </c>
    </row>
    <row r="210" spans="1:35" x14ac:dyDescent="0.25">
      <c r="A210" s="29" t="s">
        <v>56</v>
      </c>
      <c r="B210" s="21">
        <v>13681.36671088</v>
      </c>
      <c r="C210" s="21">
        <v>1487.3638733499999</v>
      </c>
      <c r="D210" s="21">
        <f t="shared" si="153"/>
        <v>10.871456812623737</v>
      </c>
      <c r="E210" s="21">
        <v>2289.6573016699999</v>
      </c>
      <c r="F210" s="21">
        <f t="shared" si="154"/>
        <v>16.73558899528048</v>
      </c>
      <c r="G210" s="21">
        <v>408.32402446000009</v>
      </c>
      <c r="H210" s="21">
        <f t="shared" si="155"/>
        <v>2.9845265687914324</v>
      </c>
      <c r="I210" s="21">
        <v>499.50039152000005</v>
      </c>
      <c r="J210" s="21">
        <f t="shared" si="156"/>
        <v>3.6509539001156681</v>
      </c>
      <c r="K210" s="21">
        <v>353.02862678000002</v>
      </c>
      <c r="L210" s="21">
        <f t="shared" si="157"/>
        <v>2.5803608238879878</v>
      </c>
      <c r="M210" s="21">
        <v>902.1172379599999</v>
      </c>
      <c r="N210" s="21">
        <f t="shared" si="158"/>
        <v>6.5937654989000354</v>
      </c>
      <c r="O210" s="21">
        <v>1274.3817415100002</v>
      </c>
      <c r="P210" s="21">
        <f t="shared" si="159"/>
        <v>9.3147254104120911</v>
      </c>
      <c r="Q210" s="21">
        <v>5938.2500646799999</v>
      </c>
      <c r="R210" s="21">
        <f t="shared" si="160"/>
        <v>43.40392440440656</v>
      </c>
      <c r="S210" s="21">
        <v>1858.8</v>
      </c>
      <c r="T210" s="21">
        <f t="shared" si="134"/>
        <v>13.586361942347496</v>
      </c>
      <c r="U210" s="21">
        <v>7.8462870599999999</v>
      </c>
      <c r="V210" s="21">
        <f t="shared" si="161"/>
        <v>5.7350169948739857E-2</v>
      </c>
      <c r="W210" s="21">
        <v>1.3154482700000001</v>
      </c>
      <c r="X210" s="21">
        <f t="shared" si="162"/>
        <v>9.6148893440148805E-3</v>
      </c>
      <c r="Y210" s="21">
        <v>405.76510696999992</v>
      </c>
      <c r="Z210" s="21">
        <f t="shared" si="163"/>
        <v>2.9658229001881691</v>
      </c>
      <c r="AA210" s="21">
        <v>31.684712709999999</v>
      </c>
      <c r="AB210" s="21">
        <f t="shared" si="164"/>
        <v>0.23159025980060149</v>
      </c>
      <c r="AC210" s="21">
        <v>1.5488708400000002</v>
      </c>
      <c r="AD210" s="21">
        <f t="shared" si="165"/>
        <v>1.1321024227559611E-2</v>
      </c>
      <c r="AE210" s="21">
        <v>32.181675890000001</v>
      </c>
      <c r="AF210" s="21">
        <f t="shared" si="166"/>
        <v>0.23522266868563485</v>
      </c>
      <c r="AG210" s="21">
        <v>48.401347210000012</v>
      </c>
      <c r="AH210" s="21">
        <f t="shared" si="167"/>
        <v>0.35377567338728827</v>
      </c>
      <c r="AI210" s="21">
        <v>277.92484053999999</v>
      </c>
    </row>
    <row r="211" spans="1:35" ht="15" customHeight="1" x14ac:dyDescent="0.25">
      <c r="A211" s="29" t="s">
        <v>57</v>
      </c>
      <c r="B211" s="21">
        <v>13865.53278956</v>
      </c>
      <c r="C211" s="21">
        <v>1491.26908237</v>
      </c>
      <c r="D211" s="21">
        <f t="shared" si="153"/>
        <v>10.755223798488618</v>
      </c>
      <c r="E211" s="21">
        <v>2298.5805962699997</v>
      </c>
      <c r="F211" s="21">
        <f t="shared" si="154"/>
        <v>16.577657931765213</v>
      </c>
      <c r="G211" s="21">
        <v>374.29320861999997</v>
      </c>
      <c r="H211" s="21">
        <f t="shared" si="155"/>
        <v>2.6994506038875232</v>
      </c>
      <c r="I211" s="21">
        <v>503.68292389999999</v>
      </c>
      <c r="J211" s="21">
        <f t="shared" si="156"/>
        <v>3.6326258178787487</v>
      </c>
      <c r="K211" s="21">
        <v>373.47619191999996</v>
      </c>
      <c r="L211" s="21">
        <f t="shared" si="157"/>
        <v>2.693558174707916</v>
      </c>
      <c r="M211" s="21">
        <v>862.43482313999993</v>
      </c>
      <c r="N211" s="21">
        <f t="shared" si="158"/>
        <v>6.2199905061662468</v>
      </c>
      <c r="O211" s="21">
        <v>1269.0044130599999</v>
      </c>
      <c r="P211" s="21">
        <f t="shared" si="159"/>
        <v>9.1522225097292456</v>
      </c>
      <c r="Q211" s="21">
        <v>6091.5527847600006</v>
      </c>
      <c r="R211" s="21">
        <f t="shared" si="160"/>
        <v>43.933059603354096</v>
      </c>
      <c r="S211" s="21">
        <v>1867.7</v>
      </c>
      <c r="T211" s="21">
        <f t="shared" si="134"/>
        <v>13.470091833804451</v>
      </c>
      <c r="U211" s="21">
        <v>7.6223526100000001</v>
      </c>
      <c r="V211" s="21">
        <f t="shared" si="161"/>
        <v>5.4973384187149456E-2</v>
      </c>
      <c r="W211" s="21">
        <v>0.87201561000000005</v>
      </c>
      <c r="X211" s="21">
        <f t="shared" si="162"/>
        <v>6.2890883692300736E-3</v>
      </c>
      <c r="Y211" s="21">
        <f>((B211-C211-E211-G211-I211-K211-M211-W211-O211-Q211-U211-AA211-AC211-AE211-AG211))</f>
        <v>484.41056021000202</v>
      </c>
      <c r="Z211" s="21">
        <f t="shared" si="163"/>
        <v>3.493631060284514</v>
      </c>
      <c r="AA211" s="21">
        <v>25.816790839999999</v>
      </c>
      <c r="AB211" s="21">
        <f t="shared" si="164"/>
        <v>0.18619400517691359</v>
      </c>
      <c r="AC211" s="21">
        <v>1.5552101</v>
      </c>
      <c r="AD211" s="21">
        <f t="shared" si="165"/>
        <v>1.1216374614691976E-2</v>
      </c>
      <c r="AE211" s="21">
        <v>32.805013450000004</v>
      </c>
      <c r="AF211" s="21">
        <f t="shared" si="166"/>
        <v>0.23659396251040862</v>
      </c>
      <c r="AG211" s="21">
        <v>48.156822700000006</v>
      </c>
      <c r="AH211" s="21">
        <f t="shared" si="167"/>
        <v>0.34731317887949825</v>
      </c>
      <c r="AI211" s="21">
        <v>288.31857986</v>
      </c>
    </row>
    <row r="212" spans="1:35" ht="15" customHeight="1" x14ac:dyDescent="0.25">
      <c r="A212" s="29" t="s">
        <v>58</v>
      </c>
      <c r="B212" s="21">
        <v>14242.98762236</v>
      </c>
      <c r="C212" s="21">
        <v>1442.8963405099998</v>
      </c>
      <c r="D212" s="21">
        <f t="shared" si="153"/>
        <v>10.13057357604386</v>
      </c>
      <c r="E212" s="21">
        <v>2384.9547273099997</v>
      </c>
      <c r="F212" s="21">
        <f t="shared" si="154"/>
        <v>16.744764445107503</v>
      </c>
      <c r="G212" s="21">
        <v>524.17324116999998</v>
      </c>
      <c r="H212" s="21">
        <f t="shared" si="155"/>
        <v>3.6802197338647042</v>
      </c>
      <c r="I212" s="21">
        <v>517.20991936999997</v>
      </c>
      <c r="J212" s="21">
        <f t="shared" si="156"/>
        <v>3.6313302593764427</v>
      </c>
      <c r="K212" s="21">
        <v>380.25941532000002</v>
      </c>
      <c r="L212" s="21">
        <f t="shared" si="157"/>
        <v>2.6698009252148229</v>
      </c>
      <c r="M212" s="21">
        <v>872.54092084000001</v>
      </c>
      <c r="N212" s="21">
        <f t="shared" si="158"/>
        <v>6.1261088191230471</v>
      </c>
      <c r="O212" s="21">
        <v>1167.8935276300001</v>
      </c>
      <c r="P212" s="21">
        <f t="shared" si="159"/>
        <v>8.1997791376054376</v>
      </c>
      <c r="Q212" s="21">
        <v>6292.0703725599997</v>
      </c>
      <c r="R212" s="21">
        <f t="shared" si="160"/>
        <v>44.176618974814716</v>
      </c>
      <c r="S212" s="21">
        <v>1875.9</v>
      </c>
      <c r="T212" s="21">
        <f t="shared" si="134"/>
        <v>13.170691779967802</v>
      </c>
      <c r="U212" s="21">
        <v>10.33276105</v>
      </c>
      <c r="V212" s="21">
        <f t="shared" si="161"/>
        <v>7.2546303654569252E-2</v>
      </c>
      <c r="W212" s="21">
        <v>1.20288846</v>
      </c>
      <c r="X212" s="21">
        <f t="shared" si="162"/>
        <v>8.4454785182259875E-3</v>
      </c>
      <c r="Y212" s="21">
        <f>((B212-C212-E212-G212-I212-K212-M212-W212-O212-Q212-U212-AA212-AC212-AE212-AG212))</f>
        <v>534.56938827000067</v>
      </c>
      <c r="Z212" s="21">
        <f t="shared" si="163"/>
        <v>3.7532110709046931</v>
      </c>
      <c r="AA212" s="21">
        <v>27.801495709999998</v>
      </c>
      <c r="AB212" s="21">
        <f t="shared" si="164"/>
        <v>0.19519426996028952</v>
      </c>
      <c r="AC212" s="21">
        <v>1.6879337300000001</v>
      </c>
      <c r="AD212" s="21">
        <f t="shared" si="165"/>
        <v>1.1850980810726261E-2</v>
      </c>
      <c r="AE212" s="21">
        <v>34.856934330000001</v>
      </c>
      <c r="AF212" s="21">
        <f t="shared" si="166"/>
        <v>0.24473049653766643</v>
      </c>
      <c r="AG212" s="21">
        <v>50.537756099999996</v>
      </c>
      <c r="AH212" s="21">
        <f t="shared" si="167"/>
        <v>0.35482552846329096</v>
      </c>
      <c r="AI212" s="21">
        <v>293.17452789999999</v>
      </c>
    </row>
    <row r="213" spans="1:35" ht="15" customHeight="1" x14ac:dyDescent="0.25">
      <c r="A213" s="29" t="s">
        <v>59</v>
      </c>
      <c r="B213" s="21">
        <v>14445.834273410001</v>
      </c>
      <c r="C213" s="21">
        <v>1384.94292948</v>
      </c>
      <c r="D213" s="21">
        <f t="shared" si="153"/>
        <v>9.5871439701424617</v>
      </c>
      <c r="E213" s="21">
        <v>2416.2553300699997</v>
      </c>
      <c r="F213" s="21">
        <f t="shared" si="154"/>
        <v>16.726312128040441</v>
      </c>
      <c r="G213" s="21">
        <v>542.30487891999996</v>
      </c>
      <c r="H213" s="21">
        <f t="shared" si="155"/>
        <v>3.7540571811640104</v>
      </c>
      <c r="I213" s="21">
        <v>520.76455778000002</v>
      </c>
      <c r="J213" s="21">
        <f t="shared" si="156"/>
        <v>3.6049462282601095</v>
      </c>
      <c r="K213" s="21">
        <v>399.93007603999996</v>
      </c>
      <c r="L213" s="21">
        <f t="shared" si="157"/>
        <v>2.768480300069196</v>
      </c>
      <c r="M213" s="21">
        <v>904.88222534999989</v>
      </c>
      <c r="N213" s="21">
        <f t="shared" si="158"/>
        <v>6.263966540275133</v>
      </c>
      <c r="O213" s="21">
        <v>1163.9528965600002</v>
      </c>
      <c r="P213" s="21">
        <f t="shared" si="159"/>
        <v>8.0573601671621855</v>
      </c>
      <c r="Q213" s="21">
        <v>6430.9749958900002</v>
      </c>
      <c r="R213" s="21">
        <f t="shared" si="160"/>
        <v>44.517851127001343</v>
      </c>
      <c r="S213" s="21">
        <v>1887.2</v>
      </c>
      <c r="T213" s="21">
        <f t="shared" si="134"/>
        <v>13.063973767674399</v>
      </c>
      <c r="U213" s="21">
        <v>11.748187399999999</v>
      </c>
      <c r="V213" s="21">
        <f t="shared" si="161"/>
        <v>8.1325779997521663E-2</v>
      </c>
      <c r="W213" s="21">
        <v>0.38734111000000004</v>
      </c>
      <c r="X213" s="21">
        <f t="shared" si="162"/>
        <v>2.6813343048865432E-3</v>
      </c>
      <c r="Y213" s="21">
        <f>((B213-C213-E213-G213-I213-K213-M213-W213-O213-Q213-U213-AA213-AC213-AE213-AG213))</f>
        <v>556.6702958900014</v>
      </c>
      <c r="Z213" s="21">
        <f t="shared" si="163"/>
        <v>3.8535004995498752</v>
      </c>
      <c r="AA213" s="21">
        <v>26.603772299999999</v>
      </c>
      <c r="AB213" s="21">
        <f t="shared" si="164"/>
        <v>0.1841622421833313</v>
      </c>
      <c r="AC213" s="21">
        <v>1.4867795500000001</v>
      </c>
      <c r="AD213" s="21">
        <f t="shared" si="165"/>
        <v>1.029209889758094E-2</v>
      </c>
      <c r="AE213" s="21">
        <v>34.67056831</v>
      </c>
      <c r="AF213" s="21">
        <f t="shared" si="166"/>
        <v>0.24000391845708102</v>
      </c>
      <c r="AG213" s="21">
        <v>50.259438759999988</v>
      </c>
      <c r="AH213" s="21">
        <f t="shared" si="167"/>
        <v>0.3479164844948483</v>
      </c>
      <c r="AI213" s="21">
        <v>298.38112630000001</v>
      </c>
    </row>
    <row r="214" spans="1:35" ht="15" customHeight="1" x14ac:dyDescent="0.25">
      <c r="A214" s="29" t="s">
        <v>60</v>
      </c>
      <c r="B214" s="21">
        <v>15116.424979359999</v>
      </c>
      <c r="C214" s="21">
        <v>1410.4221754200003</v>
      </c>
      <c r="D214" s="21">
        <f t="shared" si="153"/>
        <v>9.3303950990117954</v>
      </c>
      <c r="E214" s="21">
        <v>2339.4936194899997</v>
      </c>
      <c r="F214" s="21">
        <f t="shared" si="154"/>
        <v>15.476500711539598</v>
      </c>
      <c r="G214" s="21">
        <v>611.15848900000003</v>
      </c>
      <c r="H214" s="21">
        <f t="shared" si="155"/>
        <v>4.0430094406215566</v>
      </c>
      <c r="I214" s="21">
        <v>520.11083858000006</v>
      </c>
      <c r="J214" s="21">
        <f t="shared" si="156"/>
        <v>3.4407000285461709</v>
      </c>
      <c r="K214" s="21">
        <v>583.49459688999991</v>
      </c>
      <c r="L214" s="21">
        <f t="shared" si="157"/>
        <v>3.8600039208126575</v>
      </c>
      <c r="M214" s="21">
        <v>930.87742399999991</v>
      </c>
      <c r="N214" s="21">
        <f t="shared" si="158"/>
        <v>6.1580527490529144</v>
      </c>
      <c r="O214" s="21">
        <v>1207.81292177</v>
      </c>
      <c r="P214" s="21">
        <f t="shared" si="159"/>
        <v>7.9900698969442212</v>
      </c>
      <c r="Q214" s="21">
        <v>6814.5850019899999</v>
      </c>
      <c r="R214" s="21">
        <f t="shared" si="160"/>
        <v>45.080665642138598</v>
      </c>
      <c r="S214" s="21">
        <v>1902.4</v>
      </c>
      <c r="T214" s="21">
        <f t="shared" si="134"/>
        <v>12.58498621597065</v>
      </c>
      <c r="U214" s="21">
        <v>11.447988930000001</v>
      </c>
      <c r="V214" s="21">
        <f t="shared" si="161"/>
        <v>7.5732118841796994E-2</v>
      </c>
      <c r="W214" s="21">
        <v>0.75237586999999995</v>
      </c>
      <c r="X214" s="21">
        <f t="shared" si="162"/>
        <v>4.9772077129830346E-3</v>
      </c>
      <c r="Y214" s="21">
        <f>((B214-C214-E214-G214-I214-K214-M214-W214-O214-Q214-U214-AA214-AC214-AE214-AG214))</f>
        <v>577.31821219999927</v>
      </c>
      <c r="Z214" s="21">
        <f t="shared" si="163"/>
        <v>3.8191451549441804</v>
      </c>
      <c r="AA214" s="21">
        <v>23.03398563</v>
      </c>
      <c r="AB214" s="21">
        <f t="shared" si="164"/>
        <v>0.152377203349672</v>
      </c>
      <c r="AC214" s="21">
        <v>1.61888772</v>
      </c>
      <c r="AD214" s="21">
        <f t="shared" si="165"/>
        <v>1.0709461544051805E-2</v>
      </c>
      <c r="AE214" s="21">
        <v>33.928059699999999</v>
      </c>
      <c r="AF214" s="21">
        <f t="shared" si="166"/>
        <v>0.22444499771821347</v>
      </c>
      <c r="AG214" s="21">
        <v>50.370402170000006</v>
      </c>
      <c r="AH214" s="21">
        <f t="shared" si="167"/>
        <v>0.33321636722158754</v>
      </c>
      <c r="AI214" s="21">
        <v>299.26048521000001</v>
      </c>
    </row>
    <row r="215" spans="1:35" ht="15" customHeight="1" x14ac:dyDescent="0.25">
      <c r="A215" s="29" t="s">
        <v>61</v>
      </c>
      <c r="B215" s="21">
        <v>15298.183505950003</v>
      </c>
      <c r="C215" s="21">
        <v>1273.0674075999998</v>
      </c>
      <c r="D215" s="21">
        <f t="shared" si="153"/>
        <v>8.3216900039462782</v>
      </c>
      <c r="E215" s="21">
        <v>2491.3275571199997</v>
      </c>
      <c r="F215" s="21">
        <f t="shared" si="154"/>
        <v>16.285120100376847</v>
      </c>
      <c r="G215" s="21">
        <v>625.91507024999999</v>
      </c>
      <c r="H215" s="21">
        <f t="shared" si="155"/>
        <v>4.0914339274761584</v>
      </c>
      <c r="I215" s="21">
        <v>543.39684594000005</v>
      </c>
      <c r="J215" s="21">
        <f t="shared" si="156"/>
        <v>3.5520350878825178</v>
      </c>
      <c r="K215" s="21">
        <v>477.13003762999995</v>
      </c>
      <c r="L215" s="21">
        <f t="shared" si="157"/>
        <v>3.1188672658059517</v>
      </c>
      <c r="M215" s="21">
        <v>872.64787317000003</v>
      </c>
      <c r="N215" s="21">
        <f t="shared" si="158"/>
        <v>5.704258109014031</v>
      </c>
      <c r="O215" s="21">
        <v>1204.2609666499998</v>
      </c>
      <c r="P215" s="21">
        <f t="shared" si="159"/>
        <v>7.8719213047851095</v>
      </c>
      <c r="Q215" s="21">
        <v>6978.7193832900002</v>
      </c>
      <c r="R215" s="21">
        <f t="shared" si="160"/>
        <v>45.617960985863</v>
      </c>
      <c r="S215" s="21">
        <v>1939.1</v>
      </c>
      <c r="T215" s="21">
        <f t="shared" si="134"/>
        <v>12.675361092680157</v>
      </c>
      <c r="U215" s="21">
        <v>37.973435389999999</v>
      </c>
      <c r="V215" s="21">
        <f t="shared" si="161"/>
        <v>0.2482218583352121</v>
      </c>
      <c r="W215" s="21">
        <v>0.24328217999999999</v>
      </c>
      <c r="X215" s="21">
        <f t="shared" si="162"/>
        <v>1.5902684126215311E-3</v>
      </c>
      <c r="Y215" s="21">
        <f>((B215-C215-E215-G215-I215-K215-M215-W215-O215-Q215-U215-AA215-AC215-AE215-AG215))</f>
        <v>667.26546844000404</v>
      </c>
      <c r="Z215" s="21">
        <f t="shared" si="163"/>
        <v>4.3617300588692833</v>
      </c>
      <c r="AA215" s="21">
        <v>19.718746280000001</v>
      </c>
      <c r="AB215" s="21">
        <f t="shared" si="164"/>
        <v>0.12889599783092343</v>
      </c>
      <c r="AC215" s="21">
        <v>1.4439694199999999</v>
      </c>
      <c r="AD215" s="21">
        <f t="shared" si="165"/>
        <v>9.4388292534103111E-3</v>
      </c>
      <c r="AE215" s="21">
        <v>45.386333559999997</v>
      </c>
      <c r="AF215" s="21">
        <f t="shared" si="166"/>
        <v>0.29667792612337052</v>
      </c>
      <c r="AG215" s="21">
        <v>59.687129029999994</v>
      </c>
      <c r="AH215" s="21">
        <f t="shared" si="167"/>
        <v>0.3901582760252913</v>
      </c>
      <c r="AI215" s="21">
        <v>320.91820552000001</v>
      </c>
    </row>
    <row r="216" spans="1:35" ht="15" customHeight="1" x14ac:dyDescent="0.25">
      <c r="A216" s="29" t="s">
        <v>75</v>
      </c>
      <c r="B216" s="35">
        <v>14530.423128150002</v>
      </c>
      <c r="C216" s="35">
        <v>893.13990544000001</v>
      </c>
      <c r="D216" s="35">
        <v>6.1466888993047082</v>
      </c>
      <c r="E216" s="35">
        <v>2606.8456367699996</v>
      </c>
      <c r="F216" s="35">
        <v>17.940603751034061</v>
      </c>
      <c r="G216" s="35">
        <v>524.48663853999994</v>
      </c>
      <c r="H216" s="35">
        <v>3.6095758114841425</v>
      </c>
      <c r="I216" s="35">
        <v>566.24991748999992</v>
      </c>
      <c r="J216" s="35">
        <v>3.8969953765007412</v>
      </c>
      <c r="K216" s="35">
        <v>492.95189799000002</v>
      </c>
      <c r="L216" s="35">
        <v>3.3925501937723825</v>
      </c>
      <c r="M216" s="35">
        <v>1250.05735697</v>
      </c>
      <c r="N216" s="35">
        <v>8.6030347908330729</v>
      </c>
      <c r="O216" s="35">
        <v>848.51894512000001</v>
      </c>
      <c r="P216" s="35">
        <v>5.8396024509166002</v>
      </c>
      <c r="Q216" s="35">
        <v>6709.271535320001</v>
      </c>
      <c r="R216" s="35">
        <v>46.173958432924309</v>
      </c>
      <c r="S216" s="35">
        <v>2093.380062575</v>
      </c>
      <c r="T216" s="35">
        <v>14.406876139205224</v>
      </c>
      <c r="U216" s="35">
        <v>23.964750299999999</v>
      </c>
      <c r="V216" s="35">
        <v>0.16492809664690863</v>
      </c>
      <c r="W216" s="35">
        <v>0.77283535000000003</v>
      </c>
      <c r="X216" s="35">
        <v>5.3187394694843727E-3</v>
      </c>
      <c r="Y216" s="35">
        <f t="shared" ref="Y216" si="168">((B216-C216-E216-G216-I216-K216-M216-W216-O216-Q216-U216-AA216-AC216-AE216-AG216))</f>
        <v>527.90435741999704</v>
      </c>
      <c r="Z216" s="35">
        <v>3.6330969357477287</v>
      </c>
      <c r="AA216" s="35">
        <v>7.44049213</v>
      </c>
      <c r="AB216" s="35">
        <v>5.1206300493654759E-2</v>
      </c>
      <c r="AC216" s="35">
        <v>1.9654957500000001</v>
      </c>
      <c r="AD216" s="35">
        <v>1.3526761971523159E-2</v>
      </c>
      <c r="AE216" s="35">
        <v>40.020341620000004</v>
      </c>
      <c r="AF216" s="35">
        <v>0.27542447502762679</v>
      </c>
      <c r="AG216" s="35">
        <v>36.833021939999995</v>
      </c>
      <c r="AH216" s="35">
        <v>0.25348898387303564</v>
      </c>
      <c r="AI216" s="35">
        <v>472.36382140000001</v>
      </c>
    </row>
    <row r="217" spans="1:35" ht="15" customHeight="1" x14ac:dyDescent="0.25">
      <c r="A217" s="29" t="s">
        <v>50</v>
      </c>
      <c r="B217" s="21">
        <v>15513.610178430001</v>
      </c>
      <c r="C217" s="21">
        <v>1306.8619599599999</v>
      </c>
      <c r="D217" s="21">
        <f t="shared" si="153"/>
        <v>8.4239705969732981</v>
      </c>
      <c r="E217" s="21">
        <v>2426.8794658699994</v>
      </c>
      <c r="F217" s="21">
        <f t="shared" si="154"/>
        <v>15.643550649766313</v>
      </c>
      <c r="G217" s="21">
        <v>629.40582794000011</v>
      </c>
      <c r="H217" s="21">
        <f t="shared" si="155"/>
        <v>4.0571203008254066</v>
      </c>
      <c r="I217" s="21">
        <v>540.29166874000009</v>
      </c>
      <c r="J217" s="21">
        <f t="shared" si="156"/>
        <v>3.4826946308810656</v>
      </c>
      <c r="K217" s="21">
        <v>466.63706786</v>
      </c>
      <c r="L217" s="21">
        <f t="shared" si="157"/>
        <v>3.0079205452049349</v>
      </c>
      <c r="M217" s="21">
        <v>1138.5084673100002</v>
      </c>
      <c r="N217" s="21">
        <f t="shared" si="158"/>
        <v>7.3387719184343903</v>
      </c>
      <c r="O217" s="21">
        <v>1177.5183952699999</v>
      </c>
      <c r="P217" s="21">
        <f t="shared" si="159"/>
        <v>7.5902280753915807</v>
      </c>
      <c r="Q217" s="21">
        <v>7004.9976493500008</v>
      </c>
      <c r="R217" s="21">
        <f t="shared" si="160"/>
        <v>45.153884677917802</v>
      </c>
      <c r="S217" s="21">
        <v>1925.6</v>
      </c>
      <c r="T217" s="21">
        <f>S217/$B217*100</f>
        <v>12.412326839805081</v>
      </c>
      <c r="U217" s="21">
        <v>38.65831275</v>
      </c>
      <c r="V217" s="21">
        <f t="shared" si="161"/>
        <v>0.24918966188637515</v>
      </c>
      <c r="W217" s="21">
        <v>1.09727281</v>
      </c>
      <c r="X217" s="21">
        <f t="shared" si="162"/>
        <v>7.0729688149934258E-3</v>
      </c>
      <c r="Y217" s="21">
        <f>((B217-C217-E217-G217-I217-K217-M217-W217-O217-Q217-U217-AA217-AC217-AE217-AG217))</f>
        <v>668.57116773000041</v>
      </c>
      <c r="Z217" s="21">
        <f t="shared" si="163"/>
        <v>4.3095782351136833</v>
      </c>
      <c r="AA217" s="21">
        <v>22.149604879999998</v>
      </c>
      <c r="AB217" s="21">
        <f t="shared" si="164"/>
        <v>0.14277530906891439</v>
      </c>
      <c r="AC217" s="21">
        <v>1.42187361</v>
      </c>
      <c r="AD217" s="21">
        <f t="shared" si="165"/>
        <v>9.1653302722338719E-3</v>
      </c>
      <c r="AE217" s="21">
        <v>32.041896259999994</v>
      </c>
      <c r="AF217" s="21">
        <f t="shared" si="166"/>
        <v>0.20654055304645202</v>
      </c>
      <c r="AG217" s="21">
        <v>58.569548089999998</v>
      </c>
      <c r="AH217" s="21">
        <f t="shared" si="167"/>
        <v>0.37753654640255579</v>
      </c>
      <c r="AI217" s="21">
        <v>340.32591054999995</v>
      </c>
    </row>
    <row r="218" spans="1:35" ht="15" customHeight="1" x14ac:dyDescent="0.25">
      <c r="A218" s="29" t="s">
        <v>51</v>
      </c>
      <c r="B218" s="21">
        <v>15696.359848159998</v>
      </c>
      <c r="C218" s="21">
        <v>1297.7919746600001</v>
      </c>
      <c r="D218" s="21">
        <f t="shared" si="153"/>
        <v>8.2681079384920793</v>
      </c>
      <c r="E218" s="21">
        <v>2521.7714227699998</v>
      </c>
      <c r="F218" s="21">
        <f t="shared" si="154"/>
        <v>16.065963364528841</v>
      </c>
      <c r="G218" s="21">
        <v>626.24213909000002</v>
      </c>
      <c r="H218" s="21">
        <f t="shared" si="155"/>
        <v>3.9897284793926984</v>
      </c>
      <c r="I218" s="21">
        <v>534.28357079</v>
      </c>
      <c r="J218" s="21">
        <f t="shared" si="156"/>
        <v>3.4038692789821026</v>
      </c>
      <c r="K218" s="21">
        <v>464.59826734000001</v>
      </c>
      <c r="L218" s="21">
        <f t="shared" si="157"/>
        <v>2.9599109082254027</v>
      </c>
      <c r="M218" s="21">
        <v>1135.4032956999999</v>
      </c>
      <c r="N218" s="21">
        <f t="shared" si="158"/>
        <v>7.2335452721740277</v>
      </c>
      <c r="O218" s="21">
        <v>1172.5300143999998</v>
      </c>
      <c r="P218" s="21">
        <f t="shared" si="159"/>
        <v>7.4700760287261723</v>
      </c>
      <c r="Q218" s="21">
        <v>7099.5349342</v>
      </c>
      <c r="R218" s="21">
        <f t="shared" si="160"/>
        <v>45.230454722482939</v>
      </c>
      <c r="S218" s="21">
        <v>1963.391261664</v>
      </c>
      <c r="T218" s="21">
        <f>S218/$B218*100</f>
        <v>12.508577024590565</v>
      </c>
      <c r="U218" s="21">
        <v>29.87944276</v>
      </c>
      <c r="V218" s="21">
        <f t="shared" si="161"/>
        <v>0.19035905808124429</v>
      </c>
      <c r="W218" s="21">
        <v>0.91211142000000001</v>
      </c>
      <c r="X218" s="21">
        <f t="shared" si="162"/>
        <v>5.8109741928917486E-3</v>
      </c>
      <c r="Y218" s="21">
        <f>((B218-C218-E218-G218-I218-K218-M218-W218-O218-Q218-U218-AA218-AC218-AE218-AG218))</f>
        <v>695.98466035999979</v>
      </c>
      <c r="Z218" s="21">
        <f t="shared" si="163"/>
        <v>4.4340513793813559</v>
      </c>
      <c r="AA218" s="21">
        <v>22.525823389999999</v>
      </c>
      <c r="AB218" s="21">
        <f t="shared" si="164"/>
        <v>0.14350985583858528</v>
      </c>
      <c r="AC218" s="21">
        <v>2.1686598300000002</v>
      </c>
      <c r="AD218" s="21">
        <f t="shared" si="165"/>
        <v>1.3816323344894649E-2</v>
      </c>
      <c r="AE218" s="21">
        <v>31.934630070000001</v>
      </c>
      <c r="AF218" s="21">
        <f t="shared" si="166"/>
        <v>0.20345245890717478</v>
      </c>
      <c r="AG218" s="21">
        <v>60.798901380000004</v>
      </c>
      <c r="AH218" s="21">
        <f t="shared" si="167"/>
        <v>0.38734395724959847</v>
      </c>
      <c r="AI218" s="21">
        <v>380.30935400999994</v>
      </c>
    </row>
    <row r="219" spans="1:35" ht="15" customHeight="1" x14ac:dyDescent="0.25">
      <c r="A219" s="29" t="s">
        <v>52</v>
      </c>
      <c r="B219" s="21">
        <v>15637.419790709999</v>
      </c>
      <c r="C219" s="21">
        <v>1386.7515801299999</v>
      </c>
      <c r="D219" s="21">
        <f t="shared" si="153"/>
        <v>8.8681611077158156</v>
      </c>
      <c r="E219" s="21">
        <v>2507.4981019900001</v>
      </c>
      <c r="F219" s="21">
        <f t="shared" si="154"/>
        <v>16.035241974380419</v>
      </c>
      <c r="G219" s="21">
        <v>627.05162729000017</v>
      </c>
      <c r="H219" s="21">
        <f t="shared" si="155"/>
        <v>4.0099430448399422</v>
      </c>
      <c r="I219" s="21">
        <v>527.47044239000002</v>
      </c>
      <c r="J219" s="21">
        <f t="shared" si="156"/>
        <v>3.373129643186811</v>
      </c>
      <c r="K219" s="21">
        <v>468.44416342</v>
      </c>
      <c r="L219" s="21">
        <f t="shared" si="157"/>
        <v>2.9956614946047364</v>
      </c>
      <c r="M219" s="21">
        <v>1129.1775246899999</v>
      </c>
      <c r="N219" s="21">
        <f t="shared" si="158"/>
        <v>7.2209964290965098</v>
      </c>
      <c r="O219" s="21">
        <v>1168.5521228400003</v>
      </c>
      <c r="P219" s="21">
        <f t="shared" si="159"/>
        <v>7.4727937120049877</v>
      </c>
      <c r="Q219" s="21">
        <v>6960.7529909599998</v>
      </c>
      <c r="R219" s="21">
        <f t="shared" si="160"/>
        <v>44.513436897660689</v>
      </c>
      <c r="S219" s="21">
        <v>1988.9812640939999</v>
      </c>
      <c r="T219" s="21">
        <f>S219/$B219*100</f>
        <v>12.719369887835521</v>
      </c>
      <c r="U219" s="21">
        <v>22.085547330000001</v>
      </c>
      <c r="V219" s="21">
        <f t="shared" si="161"/>
        <v>0.14123523973642221</v>
      </c>
      <c r="W219" s="21">
        <v>0.87011189000000011</v>
      </c>
      <c r="X219" s="21">
        <f t="shared" si="162"/>
        <v>5.564293225132467E-3</v>
      </c>
      <c r="Y219" s="21">
        <f>((B219-C219-E219-G219-I219-K219-M219-W219-O219-Q219-U219-AA219-AC219-AE219-AG219))</f>
        <v>718.37380356999802</v>
      </c>
      <c r="Z219" s="21">
        <f t="shared" si="163"/>
        <v>4.5939407727403676</v>
      </c>
      <c r="AA219" s="21">
        <v>21.527021420000001</v>
      </c>
      <c r="AB219" s="21">
        <f t="shared" si="164"/>
        <v>0.13766351295876153</v>
      </c>
      <c r="AC219" s="21">
        <v>2.8118310100000001</v>
      </c>
      <c r="AD219" s="21">
        <f t="shared" si="165"/>
        <v>1.798142562924911E-2</v>
      </c>
      <c r="AE219" s="21">
        <v>33.808806990000001</v>
      </c>
      <c r="AF219" s="21">
        <f t="shared" si="166"/>
        <v>0.21620451099026838</v>
      </c>
      <c r="AG219" s="21">
        <v>62.244114789999998</v>
      </c>
      <c r="AH219" s="21">
        <f t="shared" si="167"/>
        <v>0.39804594122988546</v>
      </c>
      <c r="AI219" s="21">
        <v>438.66103153000006</v>
      </c>
    </row>
    <row r="220" spans="1:35" ht="15" customHeight="1" x14ac:dyDescent="0.25">
      <c r="A220" s="29" t="s">
        <v>53</v>
      </c>
      <c r="B220" s="21" t="s">
        <v>76</v>
      </c>
      <c r="C220" s="21">
        <v>1232.4418596000003</v>
      </c>
      <c r="D220" s="21">
        <v>8.1366227187470628</v>
      </c>
      <c r="E220" s="21">
        <v>2454.8192180700003</v>
      </c>
      <c r="F220" s="21">
        <v>16.206799261628436</v>
      </c>
      <c r="G220" s="21">
        <v>623.50596823000001</v>
      </c>
      <c r="H220" s="21">
        <v>4.1164074287619252</v>
      </c>
      <c r="I220" s="21">
        <v>583.30684597000004</v>
      </c>
      <c r="J220" s="21">
        <v>3.8510114679653928</v>
      </c>
      <c r="K220" s="21">
        <v>457.99721402000006</v>
      </c>
      <c r="L220" s="21">
        <v>3.0237130520116198</v>
      </c>
      <c r="M220" s="21">
        <v>1137.7055161400001</v>
      </c>
      <c r="N220" s="21">
        <v>7.5111701844280452</v>
      </c>
      <c r="O220" s="21">
        <v>1101.5105154299999</v>
      </c>
      <c r="P220" s="21">
        <v>7.272209569135704</v>
      </c>
      <c r="Q220" s="21">
        <v>6704.1778108100007</v>
      </c>
      <c r="R220" s="21">
        <v>44.261207992124731</v>
      </c>
      <c r="S220" s="21">
        <v>1953.817101414</v>
      </c>
      <c r="T220" s="21">
        <v>12.899166392158531</v>
      </c>
      <c r="U220" s="21">
        <v>22.037805670000001</v>
      </c>
      <c r="V220" s="21">
        <v>0.14419835699498562</v>
      </c>
      <c r="W220" s="21">
        <v>0.9398473100000001</v>
      </c>
      <c r="X220" s="21">
        <v>6.2049036351144986E-3</v>
      </c>
      <c r="Y220" s="21">
        <v>711.64327956999773</v>
      </c>
      <c r="Z220" s="21">
        <v>4.6999045137874393</v>
      </c>
      <c r="AA220" s="21">
        <v>21.27810659</v>
      </c>
      <c r="AB220" s="21">
        <v>0.14047877726930424</v>
      </c>
      <c r="AC220" s="21">
        <v>2.0920272899999999</v>
      </c>
      <c r="AD220" s="21">
        <v>1.3811634718068972E-2</v>
      </c>
      <c r="AE220" s="21">
        <v>32.488884880000001</v>
      </c>
      <c r="AF220" s="21">
        <v>0.21449271360124278</v>
      </c>
      <c r="AG220" s="21">
        <v>60.855100419999999</v>
      </c>
      <c r="AH220" s="21">
        <v>0.40176742519092362</v>
      </c>
      <c r="AI220" s="21">
        <v>379.41717933000007</v>
      </c>
    </row>
    <row r="221" spans="1:35" ht="15" customHeight="1" x14ac:dyDescent="0.25">
      <c r="A221" s="29" t="s">
        <v>54</v>
      </c>
      <c r="B221" s="21" t="s">
        <v>77</v>
      </c>
      <c r="C221" s="21">
        <v>1084.8214846800004</v>
      </c>
      <c r="D221" s="21">
        <v>7.3468984276062184</v>
      </c>
      <c r="E221" s="21">
        <v>2413.5674556900003</v>
      </c>
      <c r="F221" s="21">
        <v>16.345763054610817</v>
      </c>
      <c r="G221" s="21">
        <v>623.17214887</v>
      </c>
      <c r="H221" s="21">
        <v>4.2204017391963058</v>
      </c>
      <c r="I221" s="21">
        <v>582.94547709000005</v>
      </c>
      <c r="J221" s="21">
        <v>3.9479686469115491</v>
      </c>
      <c r="K221" s="21">
        <v>426.51841343000001</v>
      </c>
      <c r="L221" s="21">
        <v>2.8885743002207493</v>
      </c>
      <c r="M221" s="21">
        <v>1159.2931909700001</v>
      </c>
      <c r="N221" s="21">
        <v>7.8512542774579073</v>
      </c>
      <c r="O221" s="21">
        <v>961.8989958599999</v>
      </c>
      <c r="P221" s="21">
        <v>6.5144121129610957</v>
      </c>
      <c r="Q221" s="21">
        <v>6575.2798157400002</v>
      </c>
      <c r="R221" s="21">
        <v>44.530748719067766</v>
      </c>
      <c r="S221" s="21">
        <v>1939.7525689839999</v>
      </c>
      <c r="T221" s="21">
        <v>13.136875790414004</v>
      </c>
      <c r="U221" s="21">
        <v>22.063696910000001</v>
      </c>
      <c r="V221" s="21">
        <v>0.14809583534502979</v>
      </c>
      <c r="W221" s="21">
        <v>0.84922034000000002</v>
      </c>
      <c r="X221" s="21">
        <v>5.7513016369487129E-3</v>
      </c>
      <c r="Y221" s="21">
        <v>807.74608436999995</v>
      </c>
      <c r="Z221" s="21">
        <v>5.4717951963960587</v>
      </c>
      <c r="AA221" s="21">
        <v>24.635880090000001</v>
      </c>
      <c r="AB221" s="21">
        <v>0.16684524712313084</v>
      </c>
      <c r="AC221" s="21">
        <v>2.3880537299999998</v>
      </c>
      <c r="AD221" s="21">
        <v>1.6172972642730717E-2</v>
      </c>
      <c r="AE221" s="21">
        <v>30.33864049</v>
      </c>
      <c r="AF221" s="21">
        <v>0.20546690239771634</v>
      </c>
      <c r="AG221" s="21">
        <v>50.181441739999997</v>
      </c>
      <c r="AH221" s="21">
        <v>0.3398512664259884</v>
      </c>
      <c r="AI221" s="21">
        <v>328.48196079000002</v>
      </c>
    </row>
    <row r="222" spans="1:35" ht="15" customHeight="1" x14ac:dyDescent="0.25">
      <c r="A222" s="29" t="s">
        <v>55</v>
      </c>
      <c r="B222" s="21">
        <v>14550.656176510003</v>
      </c>
      <c r="C222" s="21">
        <v>1065.5159760600002</v>
      </c>
      <c r="D222" s="21">
        <f t="shared" si="153"/>
        <v>7.3228036119781761</v>
      </c>
      <c r="E222" s="21">
        <v>2394.9782242000001</v>
      </c>
      <c r="F222" s="21">
        <f t="shared" si="154"/>
        <v>16.459589142559476</v>
      </c>
      <c r="G222" s="21">
        <v>562.24009226999999</v>
      </c>
      <c r="H222" s="21">
        <f t="shared" si="155"/>
        <v>3.8640188143381318</v>
      </c>
      <c r="I222" s="21">
        <v>552.73515180999993</v>
      </c>
      <c r="J222" s="21">
        <f t="shared" si="156"/>
        <v>3.7986957090107962</v>
      </c>
      <c r="K222" s="21">
        <v>420.78440397000003</v>
      </c>
      <c r="L222" s="21">
        <f t="shared" si="157"/>
        <v>2.8918586135606552</v>
      </c>
      <c r="M222" s="21">
        <v>1171.8380441299998</v>
      </c>
      <c r="N222" s="21">
        <f t="shared" si="158"/>
        <v>8.0535065217317712</v>
      </c>
      <c r="O222" s="21">
        <v>915.73129026000004</v>
      </c>
      <c r="P222" s="21">
        <f t="shared" si="159"/>
        <v>6.293402023603031</v>
      </c>
      <c r="Q222" s="21">
        <v>6540.049923569999</v>
      </c>
      <c r="R222" s="21">
        <f t="shared" si="160"/>
        <v>44.946769714262054</v>
      </c>
      <c r="S222" s="21">
        <v>1967.3537699999999</v>
      </c>
      <c r="T222" s="21">
        <f t="shared" ref="T222:T226" si="169">S222/$B222*100</f>
        <v>13.520721994489959</v>
      </c>
      <c r="U222" s="21">
        <v>22.0349298</v>
      </c>
      <c r="V222" s="21">
        <f t="shared" si="161"/>
        <v>0.15143598702835345</v>
      </c>
      <c r="W222" s="21">
        <v>0.84922034000000002</v>
      </c>
      <c r="X222" s="21">
        <f t="shared" si="162"/>
        <v>5.8363027048288539E-3</v>
      </c>
      <c r="Y222" s="21">
        <f t="shared" ref="Y222:Y226" si="170">((B222-C222-E222-G222-I222-K222-M222-W222-O222-Q222-U222-AA222-AC222-AE222-AG222))</f>
        <v>808.13644650000504</v>
      </c>
      <c r="Z222" s="21">
        <f t="shared" ref="Z222:Z226" si="171">Y222/B222*100</f>
        <v>5.5539519090872904</v>
      </c>
      <c r="AA222" s="21">
        <v>23.671721489999999</v>
      </c>
      <c r="AB222" s="21">
        <f t="shared" ref="AB222:AB226" si="172">AA222/B222*100</f>
        <v>0.16268490714676276</v>
      </c>
      <c r="AC222" s="21">
        <v>2.07621023</v>
      </c>
      <c r="AD222" s="21">
        <f t="shared" ref="AD222:AD226" si="173">AC222/B222*100</f>
        <v>1.4268842619975797E-2</v>
      </c>
      <c r="AE222" s="21">
        <v>27.14365188</v>
      </c>
      <c r="AF222" s="21">
        <f t="shared" ref="AF222:AF226" si="174">AE222/B222*100</f>
        <v>0.18654589559898765</v>
      </c>
      <c r="AG222" s="21">
        <v>42.870890000000003</v>
      </c>
      <c r="AH222" s="21">
        <f t="shared" ref="AH222:AH226" si="175">AG222/B222*100</f>
        <v>0.29463200476971652</v>
      </c>
      <c r="AI222" s="21">
        <v>321.80638771000002</v>
      </c>
    </row>
    <row r="223" spans="1:35" ht="15" customHeight="1" x14ac:dyDescent="0.25">
      <c r="A223" s="29" t="s">
        <v>56</v>
      </c>
      <c r="B223" s="21">
        <v>14585.314835290001</v>
      </c>
      <c r="C223" s="21">
        <v>1062.4228878200001</v>
      </c>
      <c r="D223" s="21">
        <f t="shared" si="153"/>
        <v>7.2841957806039774</v>
      </c>
      <c r="E223" s="21">
        <v>2379.0843462600005</v>
      </c>
      <c r="F223" s="21">
        <f t="shared" si="154"/>
        <v>16.311504915229328</v>
      </c>
      <c r="G223" s="21">
        <v>563.81334117999995</v>
      </c>
      <c r="H223" s="21">
        <f t="shared" si="155"/>
        <v>3.8656233858992293</v>
      </c>
      <c r="I223" s="21">
        <v>553.34032681999997</v>
      </c>
      <c r="J223" s="21">
        <f t="shared" si="156"/>
        <v>3.7938181867775764</v>
      </c>
      <c r="K223" s="21">
        <v>428.79080331</v>
      </c>
      <c r="L223" s="21">
        <f t="shared" si="157"/>
        <v>2.9398803395900388</v>
      </c>
      <c r="M223" s="21">
        <v>1191.0609771299999</v>
      </c>
      <c r="N223" s="21">
        <f t="shared" si="158"/>
        <v>8.1661656987215654</v>
      </c>
      <c r="O223" s="21">
        <v>917.74782293999988</v>
      </c>
      <c r="P223" s="21">
        <f t="shared" si="159"/>
        <v>6.2922729697918944</v>
      </c>
      <c r="Q223" s="21">
        <v>6560.5409928500003</v>
      </c>
      <c r="R223" s="21">
        <f t="shared" si="160"/>
        <v>44.980455114869358</v>
      </c>
      <c r="S223" s="21">
        <v>2009.1106795640001</v>
      </c>
      <c r="T223" s="21">
        <f t="shared" si="169"/>
        <v>13.774887290762091</v>
      </c>
      <c r="U223" s="21">
        <v>23.265201919999999</v>
      </c>
      <c r="V223" s="21">
        <f t="shared" si="161"/>
        <v>0.15951113968214464</v>
      </c>
      <c r="W223" s="21">
        <v>0.84922034000000002</v>
      </c>
      <c r="X223" s="21">
        <f t="shared" si="162"/>
        <v>5.822434068720018E-3</v>
      </c>
      <c r="Y223" s="21">
        <f t="shared" si="170"/>
        <v>810.38782743000138</v>
      </c>
      <c r="Z223" s="21">
        <f t="shared" si="171"/>
        <v>5.5561901582626234</v>
      </c>
      <c r="AA223" s="21">
        <v>24.128914219999999</v>
      </c>
      <c r="AB223" s="21">
        <f t="shared" si="172"/>
        <v>0.16543293369039053</v>
      </c>
      <c r="AC223" s="21">
        <v>2.1125600200000001</v>
      </c>
      <c r="AD223" s="21">
        <f t="shared" si="173"/>
        <v>1.4484157824886584E-2</v>
      </c>
      <c r="AE223" s="21">
        <v>24.853899670000001</v>
      </c>
      <c r="AF223" s="21">
        <f t="shared" si="174"/>
        <v>0.17040358710574127</v>
      </c>
      <c r="AG223" s="21">
        <v>42.91571338</v>
      </c>
      <c r="AH223" s="21">
        <f t="shared" si="175"/>
        <v>0.29423919788253716</v>
      </c>
      <c r="AI223" s="21">
        <v>320.60784153999998</v>
      </c>
    </row>
    <row r="224" spans="1:35" ht="15" customHeight="1" x14ac:dyDescent="0.25">
      <c r="A224" s="29" t="s">
        <v>57</v>
      </c>
      <c r="B224" s="21">
        <v>14685.098078150002</v>
      </c>
      <c r="C224" s="21">
        <v>1065.4106116100002</v>
      </c>
      <c r="D224" s="21">
        <f>C224/B224*100</f>
        <v>7.2550459379990633</v>
      </c>
      <c r="E224" s="21">
        <v>2395.1543402300003</v>
      </c>
      <c r="F224" s="21">
        <f>E224/B224*100</f>
        <v>16.310101079908733</v>
      </c>
      <c r="G224" s="21">
        <v>545.40959417999989</v>
      </c>
      <c r="H224" s="21">
        <f>G224/B224*100</f>
        <v>3.7140343992085172</v>
      </c>
      <c r="I224" s="21">
        <v>557.72776111999997</v>
      </c>
      <c r="J224" s="21">
        <f>I224/B224*100</f>
        <v>3.7979164875299309</v>
      </c>
      <c r="K224" s="21">
        <v>433.14310065000006</v>
      </c>
      <c r="L224" s="21">
        <f>K224/B224*100</f>
        <v>2.9495417623017097</v>
      </c>
      <c r="M224" s="21">
        <v>1194.9634952499998</v>
      </c>
      <c r="N224" s="21">
        <f>M224/B224*100</f>
        <v>8.1372523962096608</v>
      </c>
      <c r="O224" s="21">
        <v>901.78172137000001</v>
      </c>
      <c r="P224" s="21">
        <f>O224/B224*100</f>
        <v>6.1407946788708454</v>
      </c>
      <c r="Q224" s="21">
        <v>6659.5837263899984</v>
      </c>
      <c r="R224" s="21">
        <f>Q224/B224*100</f>
        <v>45.349262844208113</v>
      </c>
      <c r="S224" s="21">
        <v>2030.933476614</v>
      </c>
      <c r="T224" s="21">
        <f t="shared" si="169"/>
        <v>13.829893854340893</v>
      </c>
      <c r="U224" s="21">
        <v>22.391692549999998</v>
      </c>
      <c r="V224" s="21">
        <f>U224/B224*100</f>
        <v>0.15247901260745858</v>
      </c>
      <c r="W224" s="21">
        <v>0.82019887999999996</v>
      </c>
      <c r="X224" s="21">
        <f>W224/B224*100</f>
        <v>5.5852461838193377E-3</v>
      </c>
      <c r="Y224" s="21">
        <f t="shared" si="170"/>
        <v>813.31882206000182</v>
      </c>
      <c r="Z224" s="21">
        <f t="shared" si="171"/>
        <v>5.5383955744234425</v>
      </c>
      <c r="AA224" s="21">
        <v>26.211952490000002</v>
      </c>
      <c r="AB224" s="21">
        <f t="shared" si="172"/>
        <v>0.17849354733967246</v>
      </c>
      <c r="AC224" s="21">
        <v>2.35648737</v>
      </c>
      <c r="AD224" s="21">
        <f t="shared" si="173"/>
        <v>1.604679354172121E-2</v>
      </c>
      <c r="AE224" s="21">
        <v>24.236075889999999</v>
      </c>
      <c r="AF224" s="21">
        <f t="shared" si="174"/>
        <v>0.16503857012750173</v>
      </c>
      <c r="AG224" s="21">
        <v>42.588498110000003</v>
      </c>
      <c r="AH224" s="21">
        <f t="shared" si="175"/>
        <v>0.29001166953980068</v>
      </c>
      <c r="AI224" s="21">
        <v>316.21093585</v>
      </c>
    </row>
    <row r="225" spans="1:35" ht="15" customHeight="1" x14ac:dyDescent="0.25">
      <c r="A225" s="29" t="s">
        <v>58</v>
      </c>
      <c r="B225" s="21">
        <v>14873.658797600001</v>
      </c>
      <c r="C225" s="21">
        <v>1069.5053917</v>
      </c>
      <c r="D225" s="21">
        <f>C225/B225*100</f>
        <v>7.190600552653355</v>
      </c>
      <c r="E225" s="21">
        <v>2495.7417140999996</v>
      </c>
      <c r="F225" s="21">
        <f>E225/B225*100</f>
        <v>16.779608488146238</v>
      </c>
      <c r="G225" s="21">
        <v>522.70294925999997</v>
      </c>
      <c r="H225" s="21">
        <f>G225/B225*100</f>
        <v>3.5142862719450227</v>
      </c>
      <c r="I225" s="21">
        <v>563.42269964999991</v>
      </c>
      <c r="J225" s="21">
        <f>I225/B225*100</f>
        <v>3.7880571775716221</v>
      </c>
      <c r="K225" s="21">
        <v>433.73405429000002</v>
      </c>
      <c r="L225" s="21">
        <f>K225/B225*100</f>
        <v>2.916122120267993</v>
      </c>
      <c r="M225" s="21">
        <v>1189.56884322</v>
      </c>
      <c r="N225" s="21">
        <f>M225/B225*100</f>
        <v>7.9978225896371091</v>
      </c>
      <c r="O225" s="21">
        <v>892.00232236999989</v>
      </c>
      <c r="P225" s="21">
        <f>O225/B225*100</f>
        <v>5.9971950043249107</v>
      </c>
      <c r="Q225" s="21">
        <v>6780.3776128399995</v>
      </c>
      <c r="R225" s="21">
        <f>Q225/B225*100</f>
        <v>45.586480805476555</v>
      </c>
      <c r="S225" s="21">
        <v>2064.7887597640001</v>
      </c>
      <c r="T225" s="21">
        <f t="shared" si="169"/>
        <v>13.882184524074011</v>
      </c>
      <c r="U225" s="21">
        <v>21.05323864</v>
      </c>
      <c r="V225" s="21">
        <f>U225/B225*100</f>
        <v>0.14154713999084834</v>
      </c>
      <c r="W225" s="21">
        <v>0.82180977999999993</v>
      </c>
      <c r="X225" s="21">
        <f>W225/B225*100</f>
        <v>5.525269815471405E-3</v>
      </c>
      <c r="Y225" s="21">
        <f t="shared" si="170"/>
        <v>804.28111132000038</v>
      </c>
      <c r="Z225" s="21">
        <f t="shared" si="171"/>
        <v>5.4074194000589717</v>
      </c>
      <c r="AA225" s="21">
        <v>27.087395489999999</v>
      </c>
      <c r="AB225" s="21">
        <f t="shared" si="172"/>
        <v>0.18211655826319476</v>
      </c>
      <c r="AC225" s="21">
        <v>2.3220422200000002</v>
      </c>
      <c r="AD225" s="21">
        <f t="shared" si="173"/>
        <v>1.561177549921128E-2</v>
      </c>
      <c r="AE225" s="21">
        <v>29.457986569999999</v>
      </c>
      <c r="AF225" s="21">
        <f t="shared" si="174"/>
        <v>0.19805474208372531</v>
      </c>
      <c r="AG225" s="21">
        <v>41.579626149999996</v>
      </c>
      <c r="AH225" s="21">
        <f t="shared" si="175"/>
        <v>0.27955210426575899</v>
      </c>
      <c r="AI225" s="21">
        <v>314.00647365999998</v>
      </c>
    </row>
    <row r="226" spans="1:35" ht="15" customHeight="1" x14ac:dyDescent="0.25">
      <c r="A226" s="29" t="s">
        <v>59</v>
      </c>
      <c r="B226" s="21">
        <v>14785.940748229999</v>
      </c>
      <c r="C226" s="21">
        <v>1006.52323186</v>
      </c>
      <c r="D226" s="21">
        <f>C226/B226*100</f>
        <v>6.8072992378282677</v>
      </c>
      <c r="E226" s="21">
        <v>2546.82416423</v>
      </c>
      <c r="F226" s="21">
        <f>E226/B226*100</f>
        <v>17.224633911338216</v>
      </c>
      <c r="G226" s="21">
        <v>512.82735919000004</v>
      </c>
      <c r="H226" s="21">
        <f>G226/B226*100</f>
        <v>3.4683444761632076</v>
      </c>
      <c r="I226" s="21">
        <v>552.18230190999986</v>
      </c>
      <c r="J226" s="21">
        <f>I226/B226*100</f>
        <v>3.7345090942292645</v>
      </c>
      <c r="K226" s="21">
        <v>432.26422624999998</v>
      </c>
      <c r="L226" s="21">
        <f>K226/B226*100</f>
        <v>2.9234813909405499</v>
      </c>
      <c r="M226" s="21">
        <v>1228.446872</v>
      </c>
      <c r="N226" s="21">
        <f>M226/B226*100</f>
        <v>8.3082090812994469</v>
      </c>
      <c r="O226" s="21">
        <v>875.59594334000008</v>
      </c>
      <c r="P226" s="21">
        <f>O226/B226*100</f>
        <v>5.9218142304865937</v>
      </c>
      <c r="Q226" s="21">
        <v>6765.0320762599995</v>
      </c>
      <c r="R226" s="21">
        <f>Q226/B226*100</f>
        <v>45.753139360238748</v>
      </c>
      <c r="S226" s="21">
        <v>2094.0299676539998</v>
      </c>
      <c r="T226" s="21">
        <f t="shared" si="169"/>
        <v>14.162304606182548</v>
      </c>
      <c r="U226" s="21">
        <v>21.360531559999998</v>
      </c>
      <c r="V226" s="21">
        <f>U226/B226*100</f>
        <v>0.14446515053536266</v>
      </c>
      <c r="W226" s="21">
        <v>0.79625563999999993</v>
      </c>
      <c r="X226" s="21">
        <f>W226/B226*100</f>
        <v>5.3852213637155168E-3</v>
      </c>
      <c r="Y226" s="21">
        <f t="shared" si="170"/>
        <v>746.44233604000181</v>
      </c>
      <c r="Z226" s="21">
        <f t="shared" si="171"/>
        <v>5.0483249510475492</v>
      </c>
      <c r="AA226" s="21">
        <v>25.990582490000001</v>
      </c>
      <c r="AB226" s="21">
        <f t="shared" si="172"/>
        <v>0.17577902503843923</v>
      </c>
      <c r="AC226" s="21">
        <v>2.0200656700000001</v>
      </c>
      <c r="AD226" s="21">
        <f t="shared" si="173"/>
        <v>1.3662070641273324E-2</v>
      </c>
      <c r="AE226" s="21">
        <v>31.98937059</v>
      </c>
      <c r="AF226" s="21">
        <f t="shared" si="174"/>
        <v>0.21634991736206841</v>
      </c>
      <c r="AG226" s="21">
        <v>37.645431200000004</v>
      </c>
      <c r="AH226" s="21">
        <f t="shared" si="175"/>
        <v>0.25460288148731069</v>
      </c>
      <c r="AI226" s="21">
        <v>437.31771748000006</v>
      </c>
    </row>
    <row r="227" spans="1:35" ht="15" customHeight="1" x14ac:dyDescent="0.25">
      <c r="A227" s="29" t="s">
        <v>60</v>
      </c>
      <c r="B227" s="21">
        <v>14681.276736809999</v>
      </c>
      <c r="C227" s="21">
        <v>922.91633638000008</v>
      </c>
      <c r="D227" s="21">
        <f>C227/B227*100</f>
        <v>6.2863492932191303</v>
      </c>
      <c r="E227" s="21">
        <v>2594.5648604499997</v>
      </c>
      <c r="F227" s="21">
        <f>E227/B227*100</f>
        <v>17.67261054309202</v>
      </c>
      <c r="G227" s="21">
        <v>516.71252259000005</v>
      </c>
      <c r="H227" s="21">
        <f>G227/B227*100</f>
        <v>3.519533974143132</v>
      </c>
      <c r="I227" s="21">
        <v>553.91715420000003</v>
      </c>
      <c r="J227" s="21">
        <f>I227/B227*100</f>
        <v>3.7729494793268037</v>
      </c>
      <c r="K227" s="21">
        <v>477.40030588999997</v>
      </c>
      <c r="L227" s="21">
        <f>K227/B227*100</f>
        <v>3.2517628708205333</v>
      </c>
      <c r="M227" s="21">
        <v>1382.1121506899999</v>
      </c>
      <c r="N227" s="21">
        <f>M227/B227*100</f>
        <v>9.4141141500634244</v>
      </c>
      <c r="O227" s="21">
        <v>857.88437640999996</v>
      </c>
      <c r="P227" s="21">
        <f>O227/B227*100</f>
        <v>5.8433908153168161</v>
      </c>
      <c r="Q227" s="21">
        <v>6757.3154658000003</v>
      </c>
      <c r="R227" s="21">
        <f>Q227/B227*100</f>
        <v>46.026756302859901</v>
      </c>
      <c r="S227" s="21">
        <v>2088.1760351739999</v>
      </c>
      <c r="T227" s="21">
        <f>S227/$B227*100</f>
        <v>14.223395366823704</v>
      </c>
      <c r="U227" s="21">
        <v>24.528865280000002</v>
      </c>
      <c r="V227" s="21">
        <f>U227/B227*100</f>
        <v>0.16707583216178595</v>
      </c>
      <c r="W227" s="21">
        <v>0.78461822999999997</v>
      </c>
      <c r="X227" s="21">
        <f>W227/B227*100</f>
        <v>5.3443460270232914E-3</v>
      </c>
      <c r="Y227" s="21">
        <f>((B227-C227-E227-G227-I227-K227-M227-W227-O227-Q227-U227-AA227-AC227-AE227-AG227))</f>
        <v>513.01729380999893</v>
      </c>
      <c r="Z227" s="21">
        <f>Y227/B227*100</f>
        <v>3.4943643050043693</v>
      </c>
      <c r="AA227" s="21">
        <v>6.7282521899999992</v>
      </c>
      <c r="AB227" s="21">
        <f>AA227/B227*100</f>
        <v>4.5828794801820068E-2</v>
      </c>
      <c r="AC227" s="21">
        <v>2.0186709399999998</v>
      </c>
      <c r="AD227" s="21">
        <f>AC227/B227*100</f>
        <v>1.3749968590528891E-2</v>
      </c>
      <c r="AE227" s="21">
        <v>34.961292449999995</v>
      </c>
      <c r="AF227" s="21">
        <f>AE227/B227*100</f>
        <v>0.23813523221956862</v>
      </c>
      <c r="AG227" s="21">
        <v>36.414571500000001</v>
      </c>
      <c r="AH227" s="21">
        <f>AG227/B227*100</f>
        <v>0.24803409235314428</v>
      </c>
      <c r="AI227" s="21">
        <v>449.96527655</v>
      </c>
    </row>
    <row r="228" spans="1:35" ht="15" customHeight="1" x14ac:dyDescent="0.25">
      <c r="A228" s="29" t="s">
        <v>61</v>
      </c>
      <c r="B228" s="21">
        <v>14530.423128150002</v>
      </c>
      <c r="C228" s="21">
        <v>893.13990544000001</v>
      </c>
      <c r="D228" s="21">
        <f>C228/B228*100</f>
        <v>6.1466888993047082</v>
      </c>
      <c r="E228" s="21">
        <v>2606.8456367699996</v>
      </c>
      <c r="F228" s="21">
        <f>E228/B228*100</f>
        <v>17.940603751034061</v>
      </c>
      <c r="G228" s="21">
        <v>524.48663853999994</v>
      </c>
      <c r="H228" s="21">
        <f>G228/B228*100</f>
        <v>3.6095758114841425</v>
      </c>
      <c r="I228" s="21">
        <v>566.24991748999992</v>
      </c>
      <c r="J228" s="21">
        <f>I228/B228*100</f>
        <v>3.8969953765007412</v>
      </c>
      <c r="K228" s="21">
        <v>492.95189799000002</v>
      </c>
      <c r="L228" s="21">
        <f>K228/B228*100</f>
        <v>3.3925501937723825</v>
      </c>
      <c r="M228" s="21">
        <v>1250.05735697</v>
      </c>
      <c r="N228" s="21">
        <f>M228/B228*100</f>
        <v>8.6030347908330729</v>
      </c>
      <c r="O228" s="21">
        <v>848.51894512000001</v>
      </c>
      <c r="P228" s="21">
        <f>O228/B228*100</f>
        <v>5.8396024509166002</v>
      </c>
      <c r="Q228" s="21">
        <v>6709.271535320001</v>
      </c>
      <c r="R228" s="21">
        <f>Q228/B228*100</f>
        <v>46.173958432924309</v>
      </c>
      <c r="S228" s="21">
        <v>2093.380062575</v>
      </c>
      <c r="T228" s="21">
        <f>S228/$B228*100</f>
        <v>14.406876139205224</v>
      </c>
      <c r="U228" s="21">
        <v>23.964750299999999</v>
      </c>
      <c r="V228" s="21">
        <f>U228/B228*100</f>
        <v>0.16492809664690863</v>
      </c>
      <c r="W228" s="21">
        <v>0.77283535000000003</v>
      </c>
      <c r="X228" s="21">
        <f>W228/B228*100</f>
        <v>5.3187394694843727E-3</v>
      </c>
      <c r="Y228" s="21">
        <f>((B228-C228-E228-G228-I228-K228-M228-W228-O228-Q228-U228-AA228-AC228-AE228-AG228))</f>
        <v>527.90435741999704</v>
      </c>
      <c r="Z228" s="21">
        <f>Y228/B228*100</f>
        <v>3.6330969357477287</v>
      </c>
      <c r="AA228" s="21">
        <v>7.44049213</v>
      </c>
      <c r="AB228" s="21">
        <f>AA228/B228*100</f>
        <v>5.1206300493654759E-2</v>
      </c>
      <c r="AC228" s="21">
        <v>1.9654957500000001</v>
      </c>
      <c r="AD228" s="21">
        <f>AC228/B228*100</f>
        <v>1.3526761971523159E-2</v>
      </c>
      <c r="AE228" s="21">
        <v>40.020341620000004</v>
      </c>
      <c r="AF228" s="21">
        <f>AE228/B228*100</f>
        <v>0.27542447502762679</v>
      </c>
      <c r="AG228" s="21">
        <v>36.833021939999995</v>
      </c>
      <c r="AH228" s="21">
        <f>AG228/B228*100</f>
        <v>0.25348898387303564</v>
      </c>
      <c r="AI228" s="21">
        <v>472.36382140000001</v>
      </c>
    </row>
    <row r="229" spans="1:35" x14ac:dyDescent="0.25">
      <c r="A229" s="28">
        <v>2021</v>
      </c>
      <c r="B229" s="35">
        <v>17119.816266530001</v>
      </c>
      <c r="C229" s="35">
        <v>719.44171244100005</v>
      </c>
      <c r="D229" s="35">
        <f t="shared" ref="D229" si="176">C229/B229*100</f>
        <v>4.202391551640309</v>
      </c>
      <c r="E229" s="35">
        <v>2992.49869709</v>
      </c>
      <c r="F229" s="35">
        <f t="shared" ref="F229" si="177">E229/B229*100</f>
        <v>17.479736058502375</v>
      </c>
      <c r="G229" s="35">
        <v>749.02611363999995</v>
      </c>
      <c r="H229" s="35">
        <f t="shared" ref="H229" si="178">G229/$B229*100</f>
        <v>4.3751994880013942</v>
      </c>
      <c r="I229" s="35">
        <v>591.69574925999996</v>
      </c>
      <c r="J229" s="35">
        <f t="shared" ref="J229" si="179">I229/$B229*100</f>
        <v>3.4562038520050673</v>
      </c>
      <c r="K229" s="35">
        <v>903.18872779000003</v>
      </c>
      <c r="L229" s="35">
        <f t="shared" ref="L229" si="180">K229/$B229*100</f>
        <v>5.2756917114570561</v>
      </c>
      <c r="M229" s="35">
        <v>971.73336805999998</v>
      </c>
      <c r="N229" s="35">
        <f t="shared" ref="N229" si="181">M229/$B229*100</f>
        <v>5.6760735800639504</v>
      </c>
      <c r="O229" s="35">
        <v>737.34158892000005</v>
      </c>
      <c r="P229" s="35">
        <f t="shared" ref="P229" si="182">O229/$B229*100</f>
        <v>4.3069480270155438</v>
      </c>
      <c r="Q229" s="35">
        <v>8607.2734685390005</v>
      </c>
      <c r="R229" s="35">
        <f t="shared" ref="R229" si="183">Q229/$B229*100</f>
        <v>50.276669647247331</v>
      </c>
      <c r="S229" s="35">
        <v>2483.4006520349999</v>
      </c>
      <c r="T229" s="35">
        <f t="shared" ref="T229" si="184">S229/$B229*100</f>
        <v>14.506000609890645</v>
      </c>
      <c r="U229" s="35">
        <v>90.779199309999996</v>
      </c>
      <c r="V229" s="35">
        <f t="shared" ref="V229" si="185">U229/$B229*100</f>
        <v>0.53025802319781523</v>
      </c>
      <c r="W229" s="35">
        <v>1.9917215699999999</v>
      </c>
      <c r="X229" s="35">
        <f t="shared" ref="X229" si="186">W229/$B229*100</f>
        <v>1.1634012532563822E-2</v>
      </c>
      <c r="Y229" s="35">
        <f t="shared" ref="Y229" si="187">((B229-C229-E229-G229-I229-K229-M229-W229-O229-Q229-U229-AA229-AC229-AE229-AG229))</f>
        <v>653.79468095999982</v>
      </c>
      <c r="Z229" s="35">
        <f t="shared" ref="Z229" si="188">Y229/$B229*100</f>
        <v>3.8189351496616086</v>
      </c>
      <c r="AA229" s="37">
        <v>8.4083913999999993</v>
      </c>
      <c r="AB229" s="37">
        <f t="shared" ref="AB229" si="189">AA229/$B229*100</f>
        <v>4.9114962854121147E-2</v>
      </c>
      <c r="AC229" s="37">
        <v>3.6777463099999999</v>
      </c>
      <c r="AD229" s="37">
        <f t="shared" ref="AD229" si="190">AC229/$B229*100</f>
        <v>2.1482393576794143E-2</v>
      </c>
      <c r="AE229" s="37">
        <v>56.911928449999998</v>
      </c>
      <c r="AF229" s="37">
        <f t="shared" ref="AF229" si="191">AE229/$B229*100</f>
        <v>0.33243305631302444</v>
      </c>
      <c r="AG229" s="37">
        <v>32.053172789999998</v>
      </c>
      <c r="AH229" s="37">
        <f t="shared" ref="AH229" si="192">AG229/$B229*100</f>
        <v>0.18722848593103988</v>
      </c>
      <c r="AI229" s="35">
        <v>357.28922269999998</v>
      </c>
    </row>
    <row r="230" spans="1:35" x14ac:dyDescent="0.25">
      <c r="A230" s="29" t="s">
        <v>50</v>
      </c>
      <c r="B230" s="21">
        <v>14587.20322659</v>
      </c>
      <c r="C230" s="21">
        <v>900.3856763</v>
      </c>
      <c r="D230" s="21">
        <f>C230/B230*100</f>
        <v>6.1724352661293533</v>
      </c>
      <c r="E230" s="21">
        <v>2607.2768521799999</v>
      </c>
      <c r="F230" s="21">
        <f>E230/$B$230*100</f>
        <v>17.873726797933244</v>
      </c>
      <c r="G230" s="21">
        <v>770.99759873999994</v>
      </c>
      <c r="H230" s="21">
        <f>G230/$B$230*100</f>
        <v>5.2854381114990012</v>
      </c>
      <c r="I230" s="21">
        <v>572.95602899999994</v>
      </c>
      <c r="J230" s="21">
        <f>I230/$B230*100</f>
        <v>3.9277990448203135</v>
      </c>
      <c r="K230" s="21">
        <v>527.06655323999996</v>
      </c>
      <c r="L230" s="21">
        <f>K230/$B230*100</f>
        <v>3.6132118340494972</v>
      </c>
      <c r="M230" s="21">
        <v>981.55343684000002</v>
      </c>
      <c r="N230" s="21">
        <f>M230/$B230*100</f>
        <v>6.7288665386576252</v>
      </c>
      <c r="O230" s="21">
        <v>832.16360743999996</v>
      </c>
      <c r="P230" s="21">
        <f>O230/$B230*100</f>
        <v>5.7047509005914634</v>
      </c>
      <c r="Q230" s="21">
        <v>6781.6822499299997</v>
      </c>
      <c r="R230" s="21">
        <f>Q230/$B230*100</f>
        <v>46.490627055693182</v>
      </c>
      <c r="S230" s="21">
        <v>2119.6554191549999</v>
      </c>
      <c r="T230" s="21">
        <f>S230/$B230*100</f>
        <v>14.530924031353914</v>
      </c>
      <c r="U230" s="21">
        <v>19.246208679999999</v>
      </c>
      <c r="V230" s="21">
        <f>U230/$B230*100</f>
        <v>0.13193899050448149</v>
      </c>
      <c r="W230" s="21">
        <v>0.76090519000000001</v>
      </c>
      <c r="X230" s="21">
        <f>W230/$B230*100</f>
        <v>5.2162513826707977E-3</v>
      </c>
      <c r="Y230" s="21">
        <f>((B230-C230-E230-G230-I230-K230-M230-W230-O230-Q230-U230-AA230-AC230-AE230-AG230))</f>
        <v>520.87783713999841</v>
      </c>
      <c r="Z230" s="21">
        <f>Y230/$B230*100</f>
        <v>3.5707861818948707</v>
      </c>
      <c r="AA230" s="21">
        <v>8.9022348099999995</v>
      </c>
      <c r="AB230" s="21">
        <f>AA230/$B230*100</f>
        <v>6.102770127842419E-2</v>
      </c>
      <c r="AC230" s="21">
        <v>1.8643147600000001</v>
      </c>
      <c r="AD230" s="21">
        <f>AC230/$B230*100</f>
        <v>1.2780481159004287E-2</v>
      </c>
      <c r="AE230" s="21">
        <v>29.750372500000001</v>
      </c>
      <c r="AF230" s="21">
        <f>AE230/$B230*100</f>
        <v>0.20394843369132004</v>
      </c>
      <c r="AG230" s="21">
        <v>31.71934984</v>
      </c>
      <c r="AH230" s="21">
        <f>AG230/$B230*100</f>
        <v>0.21744641071553042</v>
      </c>
      <c r="AI230" s="21">
        <v>487.78963322999999</v>
      </c>
    </row>
    <row r="231" spans="1:35" x14ac:dyDescent="0.25">
      <c r="A231" s="29" t="s">
        <v>51</v>
      </c>
      <c r="B231" s="21">
        <v>14619.545503340003</v>
      </c>
      <c r="C231" s="21">
        <v>917.51636970000004</v>
      </c>
      <c r="D231" s="21">
        <f t="shared" ref="D231:D254" si="193">C231/B231*100</f>
        <v>6.2759568653511346</v>
      </c>
      <c r="E231" s="21">
        <v>2512.2468264100003</v>
      </c>
      <c r="F231" s="21">
        <f t="shared" ref="F231:F254" si="194">E231/B231*100</f>
        <v>17.184165033284028</v>
      </c>
      <c r="G231" s="21">
        <v>768.12939811999991</v>
      </c>
      <c r="H231" s="21">
        <f>G231/$B231*100</f>
        <v>5.254126388159686</v>
      </c>
      <c r="I231" s="21">
        <v>569.80590648999998</v>
      </c>
      <c r="J231" s="21">
        <f t="shared" ref="J231:J254" si="195">I231/$B231*100</f>
        <v>3.8975623856420247</v>
      </c>
      <c r="K231" s="21">
        <v>687.96381294000003</v>
      </c>
      <c r="L231" s="21">
        <f t="shared" ref="L231:L254" si="196">K231/$B231*100</f>
        <v>4.7057811255680058</v>
      </c>
      <c r="M231" s="21">
        <v>908.30900340999995</v>
      </c>
      <c r="N231" s="21">
        <f t="shared" ref="N231:N254" si="197">M231/$B231*100</f>
        <v>6.2129770258759844</v>
      </c>
      <c r="O231" s="21">
        <v>860.53712653000002</v>
      </c>
      <c r="P231" s="21">
        <f t="shared" ref="P231:P254" si="198">O231/$B231*100</f>
        <v>5.8862098437560899</v>
      </c>
      <c r="Q231" s="21">
        <v>6771.3394134200007</v>
      </c>
      <c r="R231" s="21">
        <f t="shared" ref="R231:R254" si="199">Q231/$B231*100</f>
        <v>46.317030935558222</v>
      </c>
      <c r="S231" s="21">
        <v>2117.3969709829998</v>
      </c>
      <c r="T231" s="21">
        <f t="shared" ref="T231:T254" si="200">S231/$B231*100</f>
        <v>14.483329666433587</v>
      </c>
      <c r="U231" s="21">
        <v>15.998043430000001</v>
      </c>
      <c r="V231" s="21">
        <f t="shared" ref="V231:V254" si="201">U231/$B231*100</f>
        <v>0.10942914351437986</v>
      </c>
      <c r="W231" s="21">
        <v>0.74882589999999993</v>
      </c>
      <c r="X231" s="21">
        <f t="shared" ref="X231:X254" si="202">W231/$B231*100</f>
        <v>5.1220874125595907E-3</v>
      </c>
      <c r="Y231" s="21">
        <f>((B231-C231-E231-G231-I231-K231-M231-W231-O231-Q231-U231-AA231-AC231-AE231-AG231))</f>
        <v>534.72733273999893</v>
      </c>
      <c r="Z231" s="21">
        <f t="shared" ref="Z231:Z254" si="203">Y231/$B231*100</f>
        <v>3.6576194014912042</v>
      </c>
      <c r="AA231" s="21">
        <v>7.1446817000000005</v>
      </c>
      <c r="AB231" s="21">
        <f t="shared" ref="AB231:AB254" si="204">AA231/$B231*100</f>
        <v>4.8870751134963232E-2</v>
      </c>
      <c r="AC231" s="21">
        <v>2.7466538899999997</v>
      </c>
      <c r="AD231" s="21">
        <f t="shared" ref="AD231:AD254" si="205">AC231/$B231*100</f>
        <v>1.8787546366420865E-2</v>
      </c>
      <c r="AE231" s="21">
        <v>31.743852580000002</v>
      </c>
      <c r="AF231" s="21">
        <f t="shared" ref="AF231:AF254" si="206">AE231/$B231*100</f>
        <v>0.2171329647200575</v>
      </c>
      <c r="AG231" s="21">
        <v>30.588256080000008</v>
      </c>
      <c r="AH231" s="21">
        <f t="shared" ref="AH231:AH254" si="207">AG231/$B231*100</f>
        <v>0.20922850216521277</v>
      </c>
      <c r="AI231" s="21">
        <v>460.97720242999998</v>
      </c>
    </row>
    <row r="232" spans="1:35" x14ac:dyDescent="0.25">
      <c r="A232" s="29" t="s">
        <v>52</v>
      </c>
      <c r="B232" s="21">
        <v>14728.03039973</v>
      </c>
      <c r="C232" s="21">
        <v>918.15007710999998</v>
      </c>
      <c r="D232" s="21">
        <f t="shared" si="193"/>
        <v>6.2340316538648093</v>
      </c>
      <c r="E232" s="21">
        <v>2516.8194227399999</v>
      </c>
      <c r="F232" s="21">
        <f t="shared" si="194"/>
        <v>17.088635441614375</v>
      </c>
      <c r="G232" s="21">
        <v>768.96795557999997</v>
      </c>
      <c r="H232" s="21">
        <f>G232/$B232*100</f>
        <v>5.2211187423546939</v>
      </c>
      <c r="I232" s="21">
        <v>570.91129167999998</v>
      </c>
      <c r="J232" s="21">
        <f t="shared" si="195"/>
        <v>3.8763587267613606</v>
      </c>
      <c r="K232" s="21">
        <v>681.49539245999995</v>
      </c>
      <c r="L232" s="21">
        <f t="shared" si="196"/>
        <v>4.6271997949738983</v>
      </c>
      <c r="M232" s="21">
        <v>919.98805790999995</v>
      </c>
      <c r="N232" s="21">
        <f t="shared" si="197"/>
        <v>6.2465111283778008</v>
      </c>
      <c r="O232" s="21">
        <v>854.23219179</v>
      </c>
      <c r="P232" s="21">
        <f t="shared" si="198"/>
        <v>5.8000436487804921</v>
      </c>
      <c r="Q232" s="21">
        <v>6869.3073725599997</v>
      </c>
      <c r="R232" s="21">
        <f t="shared" si="199"/>
        <v>46.641045585334552</v>
      </c>
      <c r="S232" s="21">
        <v>2139.1023679179998</v>
      </c>
      <c r="T232" s="21">
        <f t="shared" si="200"/>
        <v>14.524021949039531</v>
      </c>
      <c r="U232" s="21">
        <v>18.067363480000001</v>
      </c>
      <c r="V232" s="21">
        <f t="shared" si="201"/>
        <v>0.12267331740659104</v>
      </c>
      <c r="W232" s="21">
        <v>0.73659562000000001</v>
      </c>
      <c r="X232" s="21">
        <f t="shared" si="202"/>
        <v>5.0013178952530105E-3</v>
      </c>
      <c r="Y232" s="21">
        <f t="shared" ref="Y232:Y254" si="208">((B232-C232-E232-G232-I232-K232-M232-W232-O232-Q232-U232-AA232-AC232-AE232-AG232))</f>
        <v>536.62715694000269</v>
      </c>
      <c r="Z232" s="21">
        <f t="shared" si="203"/>
        <v>3.6435771951546245</v>
      </c>
      <c r="AA232" s="21">
        <v>5.8155647699999999</v>
      </c>
      <c r="AB232" s="21">
        <f t="shared" si="204"/>
        <v>3.9486371308050897E-2</v>
      </c>
      <c r="AC232" s="21">
        <v>2.62603966</v>
      </c>
      <c r="AD232" s="21">
        <f t="shared" si="205"/>
        <v>1.7830216184562882E-2</v>
      </c>
      <c r="AE232" s="21">
        <v>32.790854269999997</v>
      </c>
      <c r="AF232" s="21">
        <f t="shared" si="206"/>
        <v>0.22264249448182244</v>
      </c>
      <c r="AG232" s="21">
        <v>31.495063160000001</v>
      </c>
      <c r="AH232" s="21">
        <f t="shared" si="207"/>
        <v>0.2138443655071311</v>
      </c>
      <c r="AI232" s="21">
        <v>456.53499706000002</v>
      </c>
    </row>
    <row r="233" spans="1:35" x14ac:dyDescent="0.25">
      <c r="A233" s="29" t="s">
        <v>53</v>
      </c>
      <c r="B233" s="21">
        <v>14987.49584865</v>
      </c>
      <c r="C233" s="21">
        <v>921.53370199999995</v>
      </c>
      <c r="D233" s="21">
        <f t="shared" si="193"/>
        <v>6.1486836180375466</v>
      </c>
      <c r="E233" s="21">
        <v>2558.6945897400001</v>
      </c>
      <c r="F233" s="21">
        <f t="shared" si="194"/>
        <v>17.072195486015595</v>
      </c>
      <c r="G233" s="21">
        <v>778.36932655999999</v>
      </c>
      <c r="H233" s="21">
        <f t="shared" ref="H233:H254" si="209">G233/$B233*100</f>
        <v>5.1934581628598862</v>
      </c>
      <c r="I233" s="21">
        <v>564.14921529000003</v>
      </c>
      <c r="J233" s="21">
        <f t="shared" si="195"/>
        <v>3.7641325875050424</v>
      </c>
      <c r="K233" s="21">
        <v>688.82102366000004</v>
      </c>
      <c r="L233" s="21">
        <f t="shared" si="196"/>
        <v>4.5959714058706194</v>
      </c>
      <c r="M233" s="21">
        <v>914.84965327999998</v>
      </c>
      <c r="N233" s="21">
        <f t="shared" si="197"/>
        <v>6.1040861163101177</v>
      </c>
      <c r="O233" s="21">
        <v>871.02834353000003</v>
      </c>
      <c r="P233" s="21">
        <f t="shared" si="198"/>
        <v>5.8117003155564371</v>
      </c>
      <c r="Q233" s="21">
        <v>7044.6583366300001</v>
      </c>
      <c r="R233" s="21">
        <f t="shared" si="199"/>
        <v>47.003571562387108</v>
      </c>
      <c r="S233" s="21">
        <v>2188.5614501999999</v>
      </c>
      <c r="T233" s="21">
        <f t="shared" si="200"/>
        <v>14.60258252813551</v>
      </c>
      <c r="U233" s="21">
        <v>17.30289196</v>
      </c>
      <c r="V233" s="21">
        <f t="shared" si="201"/>
        <v>0.11544885239490198</v>
      </c>
      <c r="W233" s="21">
        <v>0.69421246000000003</v>
      </c>
      <c r="X233" s="21">
        <f t="shared" si="202"/>
        <v>4.6319443021732767E-3</v>
      </c>
      <c r="Y233" s="21">
        <f t="shared" si="208"/>
        <v>544.86165468999911</v>
      </c>
      <c r="Z233" s="21">
        <f t="shared" si="203"/>
        <v>3.6354415720427213</v>
      </c>
      <c r="AA233" s="21">
        <v>6.7236414599999996</v>
      </c>
      <c r="AB233" s="21">
        <f t="shared" si="204"/>
        <v>4.486167354372033E-2</v>
      </c>
      <c r="AC233" s="21">
        <v>2.6595292700000002</v>
      </c>
      <c r="AD233" s="21">
        <f t="shared" si="205"/>
        <v>1.774498753398859E-2</v>
      </c>
      <c r="AE233" s="21">
        <v>37.67693809</v>
      </c>
      <c r="AF233" s="21">
        <f t="shared" si="206"/>
        <v>0.25138914779678656</v>
      </c>
      <c r="AG233" s="21">
        <v>35.472790029999999</v>
      </c>
      <c r="AH233" s="21">
        <f t="shared" si="207"/>
        <v>0.23668256784334799</v>
      </c>
      <c r="AI233" s="21">
        <v>477.63473532</v>
      </c>
    </row>
    <row r="234" spans="1:35" x14ac:dyDescent="0.25">
      <c r="A234" s="29" t="s">
        <v>54</v>
      </c>
      <c r="B234" s="21">
        <v>15067.068306839999</v>
      </c>
      <c r="C234" s="21">
        <v>906.90793025000005</v>
      </c>
      <c r="D234" s="21">
        <f t="shared" si="193"/>
        <v>6.0191399665872023</v>
      </c>
      <c r="E234" s="21">
        <v>2560.1129728199999</v>
      </c>
      <c r="F234" s="21">
        <f t="shared" si="194"/>
        <v>16.991447312001533</v>
      </c>
      <c r="G234" s="21">
        <v>770.66882657999997</v>
      </c>
      <c r="H234" s="21">
        <f t="shared" si="209"/>
        <v>5.1149222322841617</v>
      </c>
      <c r="I234" s="21">
        <v>566.31911807999995</v>
      </c>
      <c r="J234" s="21">
        <f t="shared" si="195"/>
        <v>3.7586550120231945</v>
      </c>
      <c r="K234" s="21">
        <v>721.89632615000005</v>
      </c>
      <c r="L234" s="21">
        <f t="shared" si="196"/>
        <v>4.7912195753588014</v>
      </c>
      <c r="M234" s="21">
        <v>924.62273315000004</v>
      </c>
      <c r="N234" s="21">
        <f t="shared" si="197"/>
        <v>6.1367129578237121</v>
      </c>
      <c r="O234" s="21">
        <v>825.91755959</v>
      </c>
      <c r="P234" s="21">
        <f t="shared" si="198"/>
        <v>5.4816075879543078</v>
      </c>
      <c r="Q234" s="21">
        <v>7151.9612355400004</v>
      </c>
      <c r="R234" s="21">
        <f t="shared" si="199"/>
        <v>47.467503895852275</v>
      </c>
      <c r="S234" s="21">
        <v>2209.9727520599999</v>
      </c>
      <c r="T234" s="21">
        <f t="shared" si="200"/>
        <v>14.667569742527405</v>
      </c>
      <c r="U234" s="21">
        <v>18.191524699999999</v>
      </c>
      <c r="V234" s="21">
        <f t="shared" si="201"/>
        <v>0.12073698963547931</v>
      </c>
      <c r="W234" s="21">
        <v>0.66831651000000003</v>
      </c>
      <c r="X234" s="21">
        <f t="shared" si="202"/>
        <v>4.435610806228338E-3</v>
      </c>
      <c r="Y234" s="21">
        <f t="shared" si="208"/>
        <v>538.87447604000067</v>
      </c>
      <c r="Z234" s="21">
        <f t="shared" si="203"/>
        <v>3.5765051638835921</v>
      </c>
      <c r="AA234" s="21">
        <v>6.0750850400000003</v>
      </c>
      <c r="AB234" s="21">
        <f t="shared" si="204"/>
        <v>4.032028604557459E-2</v>
      </c>
      <c r="AC234" s="21">
        <v>2.6283231300000001</v>
      </c>
      <c r="AD234" s="21">
        <f t="shared" si="205"/>
        <v>1.7444157526031921E-2</v>
      </c>
      <c r="AE234" s="21">
        <v>37.641860899999998</v>
      </c>
      <c r="AF234" s="21">
        <f t="shared" si="206"/>
        <v>0.24982870013877692</v>
      </c>
      <c r="AG234" s="21">
        <v>34.582018359999999</v>
      </c>
      <c r="AH234" s="21">
        <f t="shared" si="207"/>
        <v>0.22952055207913802</v>
      </c>
      <c r="AI234" s="21">
        <v>483.65381840999999</v>
      </c>
    </row>
    <row r="235" spans="1:35" x14ac:dyDescent="0.25">
      <c r="A235" s="29" t="s">
        <v>55</v>
      </c>
      <c r="B235" s="21">
        <v>15258.05819419</v>
      </c>
      <c r="C235" s="21">
        <v>914.58348046000003</v>
      </c>
      <c r="D235" s="21">
        <f t="shared" si="193"/>
        <v>5.9941014041240015</v>
      </c>
      <c r="E235" s="21">
        <v>2557.87079339</v>
      </c>
      <c r="F235" s="21">
        <f t="shared" si="194"/>
        <v>16.764064999856878</v>
      </c>
      <c r="G235" s="21">
        <v>748.49464950000004</v>
      </c>
      <c r="H235" s="21">
        <f t="shared" si="209"/>
        <v>4.9055695028415451</v>
      </c>
      <c r="I235" s="21">
        <v>566.04685510000002</v>
      </c>
      <c r="J235" s="21">
        <f t="shared" si="195"/>
        <v>3.70982236334333</v>
      </c>
      <c r="K235" s="21">
        <v>737.29711373999999</v>
      </c>
      <c r="L235" s="21">
        <f t="shared" si="196"/>
        <v>4.8321818173478315</v>
      </c>
      <c r="M235" s="21">
        <v>921.95197716999996</v>
      </c>
      <c r="N235" s="21">
        <f t="shared" si="197"/>
        <v>6.0423938972854554</v>
      </c>
      <c r="O235" s="21">
        <v>820.91611594000005</v>
      </c>
      <c r="P235" s="21">
        <f t="shared" si="198"/>
        <v>5.3802135598918506</v>
      </c>
      <c r="Q235" s="21">
        <v>7323.1450972399998</v>
      </c>
      <c r="R235" s="21">
        <f t="shared" si="199"/>
        <v>47.995262595266055</v>
      </c>
      <c r="S235" s="21">
        <v>2266.2714822819999</v>
      </c>
      <c r="T235" s="21">
        <f t="shared" si="200"/>
        <v>14.85294821555312</v>
      </c>
      <c r="U235" s="21">
        <v>19.853376650000001</v>
      </c>
      <c r="V235" s="21">
        <f t="shared" si="201"/>
        <v>0.13011732159705497</v>
      </c>
      <c r="W235" s="21">
        <v>0.64521457000000004</v>
      </c>
      <c r="X235" s="21">
        <f t="shared" si="202"/>
        <v>4.2286807520873554E-3</v>
      </c>
      <c r="Y235" s="21">
        <f t="shared" si="208"/>
        <v>559.08385926999972</v>
      </c>
      <c r="Z235" s="21">
        <f t="shared" si="203"/>
        <v>3.6641874880441141</v>
      </c>
      <c r="AA235" s="21">
        <v>7.9188054399999999</v>
      </c>
      <c r="AB235" s="21">
        <f t="shared" si="204"/>
        <v>5.1899169207621332E-2</v>
      </c>
      <c r="AC235" s="21">
        <v>6.7817774399999999</v>
      </c>
      <c r="AD235" s="21">
        <f t="shared" si="205"/>
        <v>4.4447185570326252E-2</v>
      </c>
      <c r="AE235" s="21">
        <v>40.376605959999999</v>
      </c>
      <c r="AF235" s="21">
        <f t="shared" si="206"/>
        <v>0.26462479986722492</v>
      </c>
      <c r="AG235" s="21">
        <v>33.092472319999999</v>
      </c>
      <c r="AH235" s="21">
        <f t="shared" si="207"/>
        <v>0.21688521500462643</v>
      </c>
      <c r="AI235" s="21">
        <v>469.41215711000001</v>
      </c>
    </row>
    <row r="236" spans="1:35" x14ac:dyDescent="0.25">
      <c r="A236" s="29" t="s">
        <v>56</v>
      </c>
      <c r="B236" s="21">
        <v>15367.672983369999</v>
      </c>
      <c r="C236" s="21">
        <v>937.46215344999996</v>
      </c>
      <c r="D236" s="21">
        <f t="shared" si="193"/>
        <v>6.1002219038918053</v>
      </c>
      <c r="E236" s="21">
        <v>2559.8715664199999</v>
      </c>
      <c r="F236" s="21">
        <f t="shared" si="194"/>
        <v>16.657509365211922</v>
      </c>
      <c r="G236" s="21">
        <v>740.25587327000005</v>
      </c>
      <c r="H236" s="21">
        <f t="shared" si="209"/>
        <v>4.8169678914371863</v>
      </c>
      <c r="I236" s="21">
        <v>561.86531460000003</v>
      </c>
      <c r="J236" s="21">
        <f t="shared" si="195"/>
        <v>3.6561509033151474</v>
      </c>
      <c r="K236" s="21">
        <v>771.52513069999998</v>
      </c>
      <c r="L236" s="21">
        <f t="shared" si="196"/>
        <v>5.0204421419879219</v>
      </c>
      <c r="M236" s="21">
        <v>917.80103291</v>
      </c>
      <c r="N236" s="21">
        <f t="shared" si="197"/>
        <v>5.9722837276872749</v>
      </c>
      <c r="O236" s="21">
        <v>757.26215291999995</v>
      </c>
      <c r="P236" s="21">
        <f t="shared" si="198"/>
        <v>4.9276305771177258</v>
      </c>
      <c r="Q236" s="21">
        <v>7462.8771900600004</v>
      </c>
      <c r="R236" s="21">
        <f t="shared" si="199"/>
        <v>48.562181132666552</v>
      </c>
      <c r="S236" s="21">
        <v>2286.8999630640001</v>
      </c>
      <c r="T236" s="21">
        <f t="shared" si="200"/>
        <v>14.881237813550236</v>
      </c>
      <c r="U236" s="21">
        <v>19.531559739999999</v>
      </c>
      <c r="V236" s="21">
        <f t="shared" si="201"/>
        <v>0.12709510256455817</v>
      </c>
      <c r="W236" s="21">
        <v>0.62182384999999996</v>
      </c>
      <c r="X236" s="21">
        <f t="shared" si="202"/>
        <v>4.0463110496488409E-3</v>
      </c>
      <c r="Y236" s="21">
        <f t="shared" si="208"/>
        <v>561.51604658999838</v>
      </c>
      <c r="Z236" s="21">
        <f t="shared" si="203"/>
        <v>3.6538781583759512</v>
      </c>
      <c r="AA236" s="21">
        <v>7.1080348999999998</v>
      </c>
      <c r="AB236" s="21">
        <f t="shared" si="204"/>
        <v>4.6253163427487698E-2</v>
      </c>
      <c r="AC236" s="21">
        <v>2.4405054599999998</v>
      </c>
      <c r="AD236" s="21">
        <f t="shared" si="205"/>
        <v>1.5880774289256237E-2</v>
      </c>
      <c r="AE236" s="21">
        <v>38.923702589999998</v>
      </c>
      <c r="AF236" s="21">
        <f t="shared" si="206"/>
        <v>0.25328299627484896</v>
      </c>
      <c r="AG236" s="21">
        <v>28.61089591</v>
      </c>
      <c r="AH236" s="21">
        <f t="shared" si="207"/>
        <v>0.18617585070271242</v>
      </c>
      <c r="AI236" s="21">
        <v>470.96209210000001</v>
      </c>
    </row>
    <row r="237" spans="1:35" x14ac:dyDescent="0.25">
      <c r="A237" s="29" t="s">
        <v>57</v>
      </c>
      <c r="B237" s="21">
        <v>15607.979105320001</v>
      </c>
      <c r="C237" s="21">
        <v>904.16886915999999</v>
      </c>
      <c r="D237" s="21">
        <f t="shared" si="193"/>
        <v>5.7929912838735973</v>
      </c>
      <c r="E237" s="21">
        <v>2548.0423100600001</v>
      </c>
      <c r="F237" s="21">
        <f t="shared" si="194"/>
        <v>16.325254492373688</v>
      </c>
      <c r="G237" s="21">
        <v>743.94539847999999</v>
      </c>
      <c r="H237" s="21">
        <f t="shared" si="209"/>
        <v>4.7664428140246882</v>
      </c>
      <c r="I237" s="21">
        <v>570.38701947000004</v>
      </c>
      <c r="J237" s="21">
        <f t="shared" si="195"/>
        <v>3.6544578617201173</v>
      </c>
      <c r="K237" s="21">
        <v>808.90830032999997</v>
      </c>
      <c r="L237" s="21">
        <f t="shared" si="196"/>
        <v>5.1826587854303474</v>
      </c>
      <c r="M237" s="21">
        <v>871.90628317000005</v>
      </c>
      <c r="N237" s="21">
        <f t="shared" si="197"/>
        <v>5.5862855612922342</v>
      </c>
      <c r="O237" s="21">
        <v>748.54770776999999</v>
      </c>
      <c r="P237" s="21">
        <f t="shared" si="198"/>
        <v>4.7959297146602182</v>
      </c>
      <c r="Q237" s="21">
        <v>7691.6505829799999</v>
      </c>
      <c r="R237" s="21">
        <f t="shared" si="199"/>
        <v>49.280246539786113</v>
      </c>
      <c r="S237" s="21">
        <v>2338.6741561580002</v>
      </c>
      <c r="T237" s="21">
        <f t="shared" si="200"/>
        <v>14.983837051401869</v>
      </c>
      <c r="U237" s="21">
        <v>19.816218689999999</v>
      </c>
      <c r="V237" s="21">
        <f t="shared" si="201"/>
        <v>0.12696210416661574</v>
      </c>
      <c r="W237" s="21">
        <v>0.57414074999999998</v>
      </c>
      <c r="X237" s="21">
        <f t="shared" si="202"/>
        <v>3.6785079357538569E-3</v>
      </c>
      <c r="Y237" s="21">
        <f t="shared" si="208"/>
        <v>621.58660417000158</v>
      </c>
      <c r="Z237" s="21">
        <f t="shared" si="203"/>
        <v>3.9824925442021701</v>
      </c>
      <c r="AA237" s="21">
        <v>5.9090063500000003</v>
      </c>
      <c r="AB237" s="21">
        <f t="shared" si="204"/>
        <v>3.7858881730472763E-2</v>
      </c>
      <c r="AC237" s="21">
        <v>4.9918723099999998</v>
      </c>
      <c r="AD237" s="21">
        <f t="shared" si="205"/>
        <v>3.198282286461105E-2</v>
      </c>
      <c r="AE237" s="21">
        <v>38.096837030000003</v>
      </c>
      <c r="AF237" s="21">
        <f t="shared" si="206"/>
        <v>0.24408564858351614</v>
      </c>
      <c r="AG237" s="21">
        <v>29.447954599999999</v>
      </c>
      <c r="AH237" s="21">
        <f t="shared" si="207"/>
        <v>0.18867243735585618</v>
      </c>
      <c r="AI237" s="21">
        <v>516.37639208999997</v>
      </c>
    </row>
    <row r="238" spans="1:35" x14ac:dyDescent="0.25">
      <c r="A238" s="29" t="s">
        <v>58</v>
      </c>
      <c r="B238" s="21">
        <v>15957.303832469999</v>
      </c>
      <c r="C238" s="21">
        <v>871.14004873999897</v>
      </c>
      <c r="D238" s="21">
        <f t="shared" si="193"/>
        <v>5.4591932188907695</v>
      </c>
      <c r="E238" s="21">
        <v>2579.2092693899999</v>
      </c>
      <c r="F238" s="21">
        <f t="shared" si="194"/>
        <v>16.163189574305232</v>
      </c>
      <c r="G238" s="21">
        <v>745.37177195000004</v>
      </c>
      <c r="H238" s="21">
        <f t="shared" si="209"/>
        <v>4.6710382892711104</v>
      </c>
      <c r="I238" s="21">
        <v>572.97145795999995</v>
      </c>
      <c r="J238" s="21">
        <f t="shared" si="195"/>
        <v>3.5906533081993137</v>
      </c>
      <c r="K238" s="21">
        <v>857.94629036000003</v>
      </c>
      <c r="L238" s="21">
        <f t="shared" si="196"/>
        <v>5.376511592229301</v>
      </c>
      <c r="M238" s="21">
        <v>908.33819310000001</v>
      </c>
      <c r="N238" s="21">
        <f t="shared" si="197"/>
        <v>5.6923036788439729</v>
      </c>
      <c r="O238" s="21">
        <v>753.88942029999998</v>
      </c>
      <c r="P238" s="21">
        <f t="shared" si="198"/>
        <v>4.7244160305200316</v>
      </c>
      <c r="Q238" s="21">
        <v>7931.76742388</v>
      </c>
      <c r="R238" s="21">
        <f t="shared" si="199"/>
        <v>49.70618788206815</v>
      </c>
      <c r="S238" s="21">
        <v>2369.8612622149999</v>
      </c>
      <c r="T238" s="21">
        <f t="shared" si="200"/>
        <v>14.851263641372766</v>
      </c>
      <c r="U238" s="21">
        <v>34.185724110000002</v>
      </c>
      <c r="V238" s="21">
        <f t="shared" si="201"/>
        <v>0.21423245724280013</v>
      </c>
      <c r="W238" s="21">
        <v>0.54093727000000003</v>
      </c>
      <c r="X238" s="21">
        <f t="shared" si="202"/>
        <v>3.3899039316359833E-3</v>
      </c>
      <c r="Y238" s="21">
        <f t="shared" si="208"/>
        <v>626.09170502000075</v>
      </c>
      <c r="Z238" s="21">
        <f t="shared" si="203"/>
        <v>3.9235431724125371</v>
      </c>
      <c r="AA238" s="21">
        <v>9.69962138</v>
      </c>
      <c r="AB238" s="21">
        <f t="shared" si="204"/>
        <v>6.0784838603268075E-2</v>
      </c>
      <c r="AC238" s="21">
        <v>2.6619728899999999</v>
      </c>
      <c r="AD238" s="21">
        <f t="shared" si="205"/>
        <v>1.6681846243871128E-2</v>
      </c>
      <c r="AE238" s="21">
        <v>35.039565459999999</v>
      </c>
      <c r="AF238" s="21">
        <f t="shared" si="206"/>
        <v>0.21958324431161935</v>
      </c>
      <c r="AG238" s="21">
        <v>28.450430659999999</v>
      </c>
      <c r="AH238" s="21">
        <f t="shared" si="207"/>
        <v>0.17829096292638688</v>
      </c>
      <c r="AI238" s="21">
        <v>604.17383210000003</v>
      </c>
    </row>
    <row r="239" spans="1:35" x14ac:dyDescent="0.25">
      <c r="A239" s="29" t="s">
        <v>59</v>
      </c>
      <c r="B239" s="21">
        <v>16415.890409920001</v>
      </c>
      <c r="C239" s="21">
        <v>815.87446340999998</v>
      </c>
      <c r="D239" s="21">
        <f t="shared" si="193"/>
        <v>4.9700286919372534</v>
      </c>
      <c r="E239" s="21">
        <v>2786.1641640600001</v>
      </c>
      <c r="F239" s="21">
        <f t="shared" si="194"/>
        <v>16.972360892323827</v>
      </c>
      <c r="G239" s="21">
        <v>741.87722835</v>
      </c>
      <c r="H239" s="21">
        <f t="shared" si="209"/>
        <v>4.5192627985728331</v>
      </c>
      <c r="I239" s="21">
        <v>573.79974297000001</v>
      </c>
      <c r="J239" s="21">
        <f t="shared" si="195"/>
        <v>3.4953921392119982</v>
      </c>
      <c r="K239" s="21">
        <v>879.85114887999998</v>
      </c>
      <c r="L239" s="21">
        <f t="shared" si="196"/>
        <v>5.35975281821029</v>
      </c>
      <c r="M239" s="21">
        <v>945.15252614999997</v>
      </c>
      <c r="N239" s="21">
        <f t="shared" si="197"/>
        <v>5.7575465146797722</v>
      </c>
      <c r="O239" s="21">
        <v>748.71404676999998</v>
      </c>
      <c r="P239" s="21">
        <f t="shared" si="198"/>
        <v>4.5609103623008931</v>
      </c>
      <c r="Q239" s="21">
        <v>8122.9342557600003</v>
      </c>
      <c r="R239" s="21">
        <f t="shared" si="199"/>
        <v>49.482142320171505</v>
      </c>
      <c r="S239" s="21">
        <v>2401.103223225</v>
      </c>
      <c r="T239" s="21">
        <f t="shared" si="200"/>
        <v>14.626701100380343</v>
      </c>
      <c r="U239" s="21">
        <v>74.858998940000006</v>
      </c>
      <c r="V239" s="21">
        <f t="shared" si="201"/>
        <v>0.45601546471559817</v>
      </c>
      <c r="W239" s="21">
        <v>2.0888799900000001</v>
      </c>
      <c r="X239" s="21">
        <f t="shared" si="202"/>
        <v>1.2724743756438003E-2</v>
      </c>
      <c r="Y239" s="21">
        <f t="shared" si="208"/>
        <v>640.01632651000182</v>
      </c>
      <c r="Z239" s="21">
        <f t="shared" si="203"/>
        <v>3.8987609598273432</v>
      </c>
      <c r="AA239" s="21">
        <v>10.664287760000001</v>
      </c>
      <c r="AB239" s="21">
        <f t="shared" si="204"/>
        <v>6.4963200251115544E-2</v>
      </c>
      <c r="AC239" s="21">
        <v>2.5579208100000002</v>
      </c>
      <c r="AD239" s="21">
        <f t="shared" si="205"/>
        <v>1.5581980301563585E-2</v>
      </c>
      <c r="AE239" s="21">
        <v>38.691770239999997</v>
      </c>
      <c r="AF239" s="21">
        <f t="shared" si="206"/>
        <v>0.23569705494999432</v>
      </c>
      <c r="AG239" s="21">
        <v>32.644649319999999</v>
      </c>
      <c r="AH239" s="21">
        <f t="shared" si="207"/>
        <v>0.19886005878958038</v>
      </c>
      <c r="AI239" s="21">
        <v>468.14402078000001</v>
      </c>
    </row>
    <row r="240" spans="1:35" x14ac:dyDescent="0.25">
      <c r="A240" s="29" t="s">
        <v>60</v>
      </c>
      <c r="B240" s="21">
        <v>16700.565043179999</v>
      </c>
      <c r="C240" s="21">
        <v>786.28199433999998</v>
      </c>
      <c r="D240" s="21">
        <f t="shared" si="193"/>
        <v>4.7081161164729188</v>
      </c>
      <c r="E240" s="21">
        <v>2868.5268772600002</v>
      </c>
      <c r="F240" s="21">
        <f t="shared" si="194"/>
        <v>17.176226491997763</v>
      </c>
      <c r="G240" s="21">
        <v>734.27509927000006</v>
      </c>
      <c r="H240" s="21">
        <f t="shared" si="209"/>
        <v>4.396708119584587</v>
      </c>
      <c r="I240" s="21">
        <v>578.59677040999998</v>
      </c>
      <c r="J240" s="21">
        <f t="shared" si="195"/>
        <v>3.4645340975830106</v>
      </c>
      <c r="K240" s="21">
        <v>916.00865195999995</v>
      </c>
      <c r="L240" s="21">
        <f t="shared" si="196"/>
        <v>5.484896167235191</v>
      </c>
      <c r="M240" s="21">
        <v>938.60669800000005</v>
      </c>
      <c r="N240" s="21">
        <f t="shared" si="197"/>
        <v>5.6202092298864965</v>
      </c>
      <c r="O240" s="21">
        <v>743.01455699999997</v>
      </c>
      <c r="P240" s="21">
        <f t="shared" si="198"/>
        <v>4.449038431208197</v>
      </c>
      <c r="Q240" s="21">
        <v>8322.8481584799993</v>
      </c>
      <c r="R240" s="21">
        <f t="shared" si="199"/>
        <v>49.835727934719174</v>
      </c>
      <c r="S240" s="21">
        <v>2434.2449579849999</v>
      </c>
      <c r="T240" s="21">
        <f t="shared" si="200"/>
        <v>14.575823941831665</v>
      </c>
      <c r="U240" s="21">
        <v>91.53427284</v>
      </c>
      <c r="V240" s="21">
        <f t="shared" si="201"/>
        <v>0.54809087359220698</v>
      </c>
      <c r="W240" s="21">
        <v>2.0505073299999999</v>
      </c>
      <c r="X240" s="21">
        <f t="shared" si="202"/>
        <v>1.227807157840665E-2</v>
      </c>
      <c r="Y240" s="21">
        <f t="shared" si="208"/>
        <v>636.61968399000216</v>
      </c>
      <c r="Z240" s="21">
        <f t="shared" si="203"/>
        <v>3.811964938575406</v>
      </c>
      <c r="AA240" s="21">
        <v>7.1007471400000002</v>
      </c>
      <c r="AB240" s="21">
        <f t="shared" si="204"/>
        <v>4.2518005358745205E-2</v>
      </c>
      <c r="AC240" s="21">
        <v>3.1193285899999998</v>
      </c>
      <c r="AD240" s="21">
        <f t="shared" si="205"/>
        <v>1.8677982343321003E-2</v>
      </c>
      <c r="AE240" s="21">
        <v>42.417387400000003</v>
      </c>
      <c r="AF240" s="21">
        <f t="shared" si="206"/>
        <v>0.25398773808148467</v>
      </c>
      <c r="AG240" s="21">
        <v>29.564309170000001</v>
      </c>
      <c r="AH240" s="21">
        <f t="shared" si="207"/>
        <v>0.17702580178311489</v>
      </c>
      <c r="AI240" s="21">
        <v>474.33828768000001</v>
      </c>
    </row>
    <row r="241" spans="1:35" x14ac:dyDescent="0.25">
      <c r="A241" s="29" t="s">
        <v>61</v>
      </c>
      <c r="B241" s="21">
        <v>17119.816266530001</v>
      </c>
      <c r="C241" s="21">
        <v>719.44171244100005</v>
      </c>
      <c r="D241" s="21">
        <f t="shared" si="193"/>
        <v>4.202391551640309</v>
      </c>
      <c r="E241" s="21">
        <v>2992.49869709</v>
      </c>
      <c r="F241" s="21">
        <f t="shared" si="194"/>
        <v>17.479736058502375</v>
      </c>
      <c r="G241" s="21">
        <v>749.02611363999995</v>
      </c>
      <c r="H241" s="21">
        <f t="shared" si="209"/>
        <v>4.3751994880013942</v>
      </c>
      <c r="I241" s="21">
        <v>591.69574925999996</v>
      </c>
      <c r="J241" s="21">
        <f t="shared" si="195"/>
        <v>3.4562038520050673</v>
      </c>
      <c r="K241" s="21">
        <v>903.18872779000003</v>
      </c>
      <c r="L241" s="21">
        <f t="shared" si="196"/>
        <v>5.2756917114570561</v>
      </c>
      <c r="M241" s="21">
        <v>971.73336805999998</v>
      </c>
      <c r="N241" s="21">
        <f t="shared" si="197"/>
        <v>5.6760735800639504</v>
      </c>
      <c r="O241" s="21">
        <v>737.34158892000005</v>
      </c>
      <c r="P241" s="21">
        <f t="shared" si="198"/>
        <v>4.3069480270155438</v>
      </c>
      <c r="Q241" s="21">
        <v>8607.2734685390005</v>
      </c>
      <c r="R241" s="21">
        <f t="shared" si="199"/>
        <v>50.276669647247331</v>
      </c>
      <c r="S241" s="21">
        <v>2483.4006520349999</v>
      </c>
      <c r="T241" s="21">
        <f t="shared" si="200"/>
        <v>14.506000609890645</v>
      </c>
      <c r="U241" s="21">
        <v>90.779199309999996</v>
      </c>
      <c r="V241" s="21">
        <f t="shared" si="201"/>
        <v>0.53025802319781523</v>
      </c>
      <c r="W241" s="21">
        <v>1.9917215699999999</v>
      </c>
      <c r="X241" s="21">
        <f t="shared" si="202"/>
        <v>1.1634012532563822E-2</v>
      </c>
      <c r="Y241" s="21">
        <f t="shared" si="208"/>
        <v>653.79468095999982</v>
      </c>
      <c r="Z241" s="21">
        <f t="shared" si="203"/>
        <v>3.8189351496616086</v>
      </c>
      <c r="AA241" s="21">
        <v>8.4083913999999993</v>
      </c>
      <c r="AB241" s="21">
        <f t="shared" si="204"/>
        <v>4.9114962854121147E-2</v>
      </c>
      <c r="AC241" s="21">
        <v>3.6777463099999999</v>
      </c>
      <c r="AD241" s="21">
        <f t="shared" si="205"/>
        <v>2.1482393576794143E-2</v>
      </c>
      <c r="AE241" s="21">
        <v>56.911928449999998</v>
      </c>
      <c r="AF241" s="21">
        <f t="shared" si="206"/>
        <v>0.33243305631302444</v>
      </c>
      <c r="AG241" s="21">
        <v>32.053172789999998</v>
      </c>
      <c r="AH241" s="21">
        <f t="shared" si="207"/>
        <v>0.18722848593103988</v>
      </c>
      <c r="AI241" s="21">
        <v>357.28922269999998</v>
      </c>
    </row>
    <row r="242" spans="1:35" x14ac:dyDescent="0.25">
      <c r="A242" s="29" t="s">
        <v>78</v>
      </c>
      <c r="B242" s="35">
        <v>20183.981847880001</v>
      </c>
      <c r="C242" s="35">
        <v>593.74010190000001</v>
      </c>
      <c r="D242" s="35">
        <f t="shared" si="193"/>
        <v>2.9416400905174354</v>
      </c>
      <c r="E242" s="35">
        <v>3302.9590024499998</v>
      </c>
      <c r="F242" s="35">
        <f t="shared" si="194"/>
        <v>16.364258684650583</v>
      </c>
      <c r="G242" s="35">
        <v>649.86065914000005</v>
      </c>
      <c r="H242" s="35">
        <f t="shared" si="209"/>
        <v>3.2196851148489185</v>
      </c>
      <c r="I242" s="35">
        <v>629.08630359999995</v>
      </c>
      <c r="J242" s="35">
        <f t="shared" si="195"/>
        <v>3.1167601533791274</v>
      </c>
      <c r="K242" s="35">
        <v>1097.3797512199999</v>
      </c>
      <c r="L242" s="35">
        <f t="shared" si="196"/>
        <v>5.4368843545866641</v>
      </c>
      <c r="M242" s="35">
        <v>1059.78559137</v>
      </c>
      <c r="N242" s="35">
        <f t="shared" si="197"/>
        <v>5.2506269543703201</v>
      </c>
      <c r="O242" s="35">
        <v>792.6693219</v>
      </c>
      <c r="P242" s="35">
        <f t="shared" si="198"/>
        <v>3.9272197521484449</v>
      </c>
      <c r="Q242" s="35">
        <v>11273.07877536</v>
      </c>
      <c r="R242" s="35">
        <f t="shared" si="199"/>
        <v>55.851609758279949</v>
      </c>
      <c r="S242" s="35">
        <v>3013.0127850049998</v>
      </c>
      <c r="T242" s="35">
        <f t="shared" si="200"/>
        <v>14.927742244880527</v>
      </c>
      <c r="U242" s="35">
        <v>11.43771877</v>
      </c>
      <c r="V242" s="35">
        <f t="shared" si="201"/>
        <v>5.666730606578179E-2</v>
      </c>
      <c r="W242" s="35">
        <v>1.2991616399999999</v>
      </c>
      <c r="X242" s="35">
        <f t="shared" si="202"/>
        <v>6.4365973463083332E-3</v>
      </c>
      <c r="Y242" s="35">
        <f t="shared" si="208"/>
        <v>677.34562013000254</v>
      </c>
      <c r="Z242" s="35">
        <f t="shared" si="203"/>
        <v>3.3558572596573488</v>
      </c>
      <c r="AA242" s="35">
        <v>12.71684417</v>
      </c>
      <c r="AB242" s="35">
        <f t="shared" si="204"/>
        <v>6.3004635387817184E-2</v>
      </c>
      <c r="AC242" s="35">
        <v>9.3437897400000001</v>
      </c>
      <c r="AD242" s="35">
        <f t="shared" si="205"/>
        <v>4.6293094248801125E-2</v>
      </c>
      <c r="AE242" s="35">
        <v>41.230349599999997</v>
      </c>
      <c r="AF242" s="35">
        <f t="shared" si="206"/>
        <v>0.2042726252467898</v>
      </c>
      <c r="AG242" s="35">
        <v>32.048856890000003</v>
      </c>
      <c r="AH242" s="35">
        <f t="shared" si="207"/>
        <v>0.15878361926572093</v>
      </c>
      <c r="AI242" s="35">
        <v>478.84730696000003</v>
      </c>
    </row>
    <row r="243" spans="1:35" x14ac:dyDescent="0.25">
      <c r="A243" s="29" t="s">
        <v>50</v>
      </c>
      <c r="B243" s="21">
        <v>17242.149871199999</v>
      </c>
      <c r="C243" s="21">
        <v>706.54506468099999</v>
      </c>
      <c r="D243" s="21">
        <f t="shared" si="193"/>
        <v>4.0977782350747347</v>
      </c>
      <c r="E243" s="21">
        <v>2971.0516749799999</v>
      </c>
      <c r="F243" s="21">
        <f t="shared" si="194"/>
        <v>17.231329603175663</v>
      </c>
      <c r="G243" s="21">
        <v>737.83965122999996</v>
      </c>
      <c r="H243" s="21">
        <f t="shared" si="209"/>
        <v>4.279278725342901</v>
      </c>
      <c r="I243" s="21">
        <v>595.77505580000002</v>
      </c>
      <c r="J243" s="21">
        <f t="shared" si="195"/>
        <v>3.4553408957147402</v>
      </c>
      <c r="K243" s="21">
        <v>910.36466609000001</v>
      </c>
      <c r="L243" s="21">
        <f t="shared" si="196"/>
        <v>5.2798790921693897</v>
      </c>
      <c r="M243" s="21">
        <v>959.79601437999997</v>
      </c>
      <c r="N243" s="21">
        <f t="shared" si="197"/>
        <v>5.5665680993944475</v>
      </c>
      <c r="O243" s="21">
        <v>744.62580856</v>
      </c>
      <c r="P243" s="21">
        <f t="shared" si="198"/>
        <v>4.3186366788503987</v>
      </c>
      <c r="Q243" s="21">
        <v>8767.7198485890003</v>
      </c>
      <c r="R243" s="21">
        <f t="shared" si="199"/>
        <v>50.850502484228755</v>
      </c>
      <c r="S243" s="21">
        <v>2499.0721426549999</v>
      </c>
      <c r="T243" s="21">
        <f t="shared" si="200"/>
        <v>14.493970655186473</v>
      </c>
      <c r="U243" s="21">
        <v>90.199735840000002</v>
      </c>
      <c r="V243" s="21">
        <f t="shared" si="201"/>
        <v>0.52313508764161076</v>
      </c>
      <c r="W243" s="21">
        <v>1.95306146</v>
      </c>
      <c r="X243" s="21">
        <f t="shared" si="202"/>
        <v>1.1327250224534053E-2</v>
      </c>
      <c r="Y243" s="21">
        <f t="shared" si="208"/>
        <v>663.27988239999866</v>
      </c>
      <c r="Z243" s="21">
        <f t="shared" si="203"/>
        <v>3.846851392400271</v>
      </c>
      <c r="AA243" s="21">
        <v>7.6883463699999997</v>
      </c>
      <c r="AB243" s="21">
        <f t="shared" si="204"/>
        <v>4.4590416087509133E-2</v>
      </c>
      <c r="AC243" s="21">
        <v>4.3864337100000004</v>
      </c>
      <c r="AD243" s="21">
        <f t="shared" si="205"/>
        <v>2.5440178532067929E-2</v>
      </c>
      <c r="AE243" s="21">
        <v>50.945260220000002</v>
      </c>
      <c r="AF243" s="21">
        <f t="shared" si="206"/>
        <v>0.29546930400538485</v>
      </c>
      <c r="AG243" s="21">
        <v>29.979366890000001</v>
      </c>
      <c r="AH243" s="21">
        <f t="shared" si="207"/>
        <v>0.17387255715759262</v>
      </c>
      <c r="AI243" s="21">
        <v>404.33149824999998</v>
      </c>
    </row>
    <row r="244" spans="1:35" ht="15" customHeight="1" x14ac:dyDescent="0.25">
      <c r="A244" s="29" t="s">
        <v>51</v>
      </c>
      <c r="B244" s="21">
        <v>17587.221785509999</v>
      </c>
      <c r="C244" s="21">
        <v>690.22803666100003</v>
      </c>
      <c r="D244" s="21">
        <f t="shared" si="193"/>
        <v>3.9245996046383778</v>
      </c>
      <c r="E244" s="21">
        <v>3039.58921594</v>
      </c>
      <c r="F244" s="21">
        <f t="shared" si="194"/>
        <v>17.282941291183914</v>
      </c>
      <c r="G244" s="21">
        <v>720.08297909999999</v>
      </c>
      <c r="H244" s="21">
        <f t="shared" si="209"/>
        <v>4.0943532064471482</v>
      </c>
      <c r="I244" s="21">
        <v>591.62897584999996</v>
      </c>
      <c r="J244" s="21">
        <f t="shared" si="195"/>
        <v>3.3639706320041936</v>
      </c>
      <c r="K244" s="21">
        <v>986.05618188000005</v>
      </c>
      <c r="L244" s="21">
        <f t="shared" si="196"/>
        <v>5.6066625752818195</v>
      </c>
      <c r="M244" s="21">
        <v>996.55668907999996</v>
      </c>
      <c r="N244" s="21">
        <f t="shared" si="197"/>
        <v>5.6663678961566095</v>
      </c>
      <c r="O244" s="21">
        <v>731.55818535000003</v>
      </c>
      <c r="P244" s="21">
        <f t="shared" si="198"/>
        <v>4.1596006138543506</v>
      </c>
      <c r="Q244" s="21">
        <v>8948.4275945089994</v>
      </c>
      <c r="R244" s="21">
        <f t="shared" si="199"/>
        <v>50.880279464500489</v>
      </c>
      <c r="S244" s="21">
        <v>2544.7717876749998</v>
      </c>
      <c r="T244" s="21">
        <f t="shared" si="200"/>
        <v>14.469435927461955</v>
      </c>
      <c r="U244" s="21">
        <v>92.671329189999994</v>
      </c>
      <c r="V244" s="21">
        <f t="shared" si="201"/>
        <v>0.52692420849750876</v>
      </c>
      <c r="W244" s="21">
        <v>1.95306146</v>
      </c>
      <c r="X244" s="21">
        <f t="shared" si="202"/>
        <v>1.1105002733343108E-2</v>
      </c>
      <c r="Y244" s="21">
        <f t="shared" si="208"/>
        <v>679.59860069999945</v>
      </c>
      <c r="Z244" s="21">
        <f t="shared" si="203"/>
        <v>3.8641612017420308</v>
      </c>
      <c r="AA244" s="21">
        <v>25.085493190000001</v>
      </c>
      <c r="AB244" s="21">
        <f t="shared" si="204"/>
        <v>0.14263476912918549</v>
      </c>
      <c r="AC244" s="21">
        <v>4.2741885100000001</v>
      </c>
      <c r="AD244" s="21">
        <f t="shared" si="205"/>
        <v>2.4302806674795431E-2</v>
      </c>
      <c r="AE244" s="21">
        <v>48.159196620000003</v>
      </c>
      <c r="AF244" s="21">
        <f t="shared" si="206"/>
        <v>0.27383060956039151</v>
      </c>
      <c r="AG244" s="21">
        <v>31.352057469999998</v>
      </c>
      <c r="AH244" s="21">
        <f t="shared" si="207"/>
        <v>0.17826611759584882</v>
      </c>
      <c r="AI244" s="21">
        <v>501.75617211000002</v>
      </c>
    </row>
    <row r="245" spans="1:35" ht="15" customHeight="1" x14ac:dyDescent="0.25">
      <c r="A245" s="29" t="s">
        <v>52</v>
      </c>
      <c r="B245" s="21">
        <v>18007.769891451</v>
      </c>
      <c r="C245" s="21">
        <v>685.18649990100005</v>
      </c>
      <c r="D245" s="21">
        <f t="shared" si="193"/>
        <v>3.8049492193160748</v>
      </c>
      <c r="E245" s="21">
        <v>3080.4347998600001</v>
      </c>
      <c r="F245" s="21">
        <f t="shared" si="194"/>
        <v>17.10614261748427</v>
      </c>
      <c r="G245" s="21">
        <v>728.75941611999997</v>
      </c>
      <c r="H245" s="21">
        <f t="shared" si="209"/>
        <v>4.0469165283257578</v>
      </c>
      <c r="I245" s="21">
        <v>597.47477757000001</v>
      </c>
      <c r="J245" s="21">
        <f t="shared" si="195"/>
        <v>3.3178721250411187</v>
      </c>
      <c r="K245" s="21">
        <v>1009.43637603</v>
      </c>
      <c r="L245" s="21">
        <f t="shared" si="196"/>
        <v>5.6055601671655042</v>
      </c>
      <c r="M245" s="21">
        <v>1016.34619679</v>
      </c>
      <c r="N245" s="21">
        <f t="shared" si="197"/>
        <v>5.6439314968840186</v>
      </c>
      <c r="O245" s="21">
        <v>737.58571889999996</v>
      </c>
      <c r="P245" s="21">
        <f t="shared" si="198"/>
        <v>4.095930386417038</v>
      </c>
      <c r="Q245" s="21">
        <v>9262.8286463999993</v>
      </c>
      <c r="R245" s="21">
        <f t="shared" si="199"/>
        <v>51.437955406112948</v>
      </c>
      <c r="S245" s="21">
        <v>2599.5753401249999</v>
      </c>
      <c r="T245" s="21">
        <f t="shared" si="200"/>
        <v>14.435853833067474</v>
      </c>
      <c r="U245" s="21">
        <v>85.788650129999994</v>
      </c>
      <c r="V245" s="21">
        <f t="shared" si="201"/>
        <v>0.47639796958271474</v>
      </c>
      <c r="W245" s="21">
        <v>1.9190493500000001</v>
      </c>
      <c r="X245" s="21">
        <f t="shared" si="202"/>
        <v>1.0656785163114775E-2</v>
      </c>
      <c r="Y245" s="21">
        <f t="shared" si="208"/>
        <v>695.8247708600021</v>
      </c>
      <c r="Z245" s="21">
        <f t="shared" si="203"/>
        <v>3.8640252238581612</v>
      </c>
      <c r="AA245" s="21">
        <v>29.572471480000001</v>
      </c>
      <c r="AB245" s="21">
        <f t="shared" si="204"/>
        <v>0.16422062064464307</v>
      </c>
      <c r="AC245" s="21">
        <v>4.5490465200000001</v>
      </c>
      <c r="AD245" s="21">
        <f t="shared" si="205"/>
        <v>2.5261576238596945E-2</v>
      </c>
      <c r="AE245" s="21">
        <v>41.391453429999999</v>
      </c>
      <c r="AF245" s="21">
        <f t="shared" si="206"/>
        <v>0.22985330043366536</v>
      </c>
      <c r="AG245" s="21">
        <v>30.67201811</v>
      </c>
      <c r="AH245" s="21">
        <f t="shared" si="207"/>
        <v>0.17032657733238374</v>
      </c>
      <c r="AI245" s="21">
        <v>408.66366932</v>
      </c>
    </row>
    <row r="246" spans="1:35" ht="15" customHeight="1" x14ac:dyDescent="0.25">
      <c r="A246" s="29" t="s">
        <v>53</v>
      </c>
      <c r="B246" s="21">
        <v>18319.964781931001</v>
      </c>
      <c r="C246" s="21">
        <v>674.77748304099998</v>
      </c>
      <c r="D246" s="21">
        <f t="shared" si="193"/>
        <v>3.6832902850693996</v>
      </c>
      <c r="E246" s="21">
        <v>3137.6001220100002</v>
      </c>
      <c r="F246" s="21">
        <f t="shared" si="194"/>
        <v>17.126671144611688</v>
      </c>
      <c r="G246" s="21">
        <v>724.61680982999997</v>
      </c>
      <c r="H246" s="21">
        <f t="shared" si="209"/>
        <v>3.9553395350666301</v>
      </c>
      <c r="I246" s="21">
        <v>592.84795186999997</v>
      </c>
      <c r="J246" s="21">
        <f t="shared" si="195"/>
        <v>3.2360758272566468</v>
      </c>
      <c r="K246" s="21">
        <v>1069.77222321</v>
      </c>
      <c r="L246" s="21">
        <f t="shared" si="196"/>
        <v>5.8393792561496483</v>
      </c>
      <c r="M246" s="21">
        <v>1025.0713723900001</v>
      </c>
      <c r="N246" s="21">
        <f t="shared" si="197"/>
        <v>5.5953785096848492</v>
      </c>
      <c r="O246" s="21">
        <v>742.68811762999997</v>
      </c>
      <c r="P246" s="21">
        <f t="shared" si="198"/>
        <v>4.0539822345210723</v>
      </c>
      <c r="Q246" s="21">
        <v>9460.6843937499998</v>
      </c>
      <c r="R246" s="21">
        <f t="shared" si="199"/>
        <v>51.641389633461962</v>
      </c>
      <c r="S246" s="21">
        <v>2659.2497702750002</v>
      </c>
      <c r="T246" s="21">
        <f t="shared" si="200"/>
        <v>14.515583419122185</v>
      </c>
      <c r="U246" s="21">
        <v>94.591088130000003</v>
      </c>
      <c r="V246" s="21">
        <f t="shared" si="201"/>
        <v>0.51632789285323999</v>
      </c>
      <c r="W246" s="21">
        <v>1.8355293100000001</v>
      </c>
      <c r="X246" s="21">
        <f t="shared" si="202"/>
        <v>1.0019284053484559E-2</v>
      </c>
      <c r="Y246" s="21">
        <f t="shared" si="208"/>
        <v>687.62060340999813</v>
      </c>
      <c r="Z246" s="21">
        <f t="shared" si="203"/>
        <v>3.7533947886635626</v>
      </c>
      <c r="AA246" s="21">
        <v>30.977582609999999</v>
      </c>
      <c r="AB246" s="21">
        <f t="shared" si="204"/>
        <v>0.16909193319276039</v>
      </c>
      <c r="AC246" s="21">
        <v>3.94607128</v>
      </c>
      <c r="AD246" s="21">
        <f t="shared" si="205"/>
        <v>2.1539731800641962E-2</v>
      </c>
      <c r="AE246" s="21">
        <v>43.012501450000002</v>
      </c>
      <c r="AF246" s="21">
        <f t="shared" si="206"/>
        <v>0.23478484790769508</v>
      </c>
      <c r="AG246" s="21">
        <v>29.92293201</v>
      </c>
      <c r="AH246" s="21">
        <f t="shared" si="207"/>
        <v>0.16333509570669599</v>
      </c>
      <c r="AI246" s="21">
        <v>368.50278687000002</v>
      </c>
    </row>
    <row r="247" spans="1:35" ht="15" customHeight="1" x14ac:dyDescent="0.25">
      <c r="A247" s="29" t="s">
        <v>54</v>
      </c>
      <c r="B247" s="21">
        <v>18577.875236771</v>
      </c>
      <c r="C247" s="21">
        <v>673.73641594100002</v>
      </c>
      <c r="D247" s="21">
        <f t="shared" si="193"/>
        <v>3.6265525920180597</v>
      </c>
      <c r="E247" s="21">
        <v>3141.1716848900001</v>
      </c>
      <c r="F247" s="21">
        <f t="shared" si="194"/>
        <v>16.908132091837448</v>
      </c>
      <c r="G247" s="21">
        <v>712.88410555999997</v>
      </c>
      <c r="H247" s="21">
        <f t="shared" si="209"/>
        <v>3.8372746962418804</v>
      </c>
      <c r="I247" s="21">
        <v>597.58057467000003</v>
      </c>
      <c r="J247" s="21">
        <f t="shared" si="195"/>
        <v>3.2166249748906424</v>
      </c>
      <c r="K247" s="21">
        <v>1095.6968941299999</v>
      </c>
      <c r="L247" s="21">
        <f t="shared" si="196"/>
        <v>5.897859040205514</v>
      </c>
      <c r="M247" s="21">
        <v>992.87865039999997</v>
      </c>
      <c r="N247" s="21">
        <f t="shared" si="197"/>
        <v>5.3444144593823371</v>
      </c>
      <c r="O247" s="21">
        <v>761.74220623999997</v>
      </c>
      <c r="P247" s="21">
        <f t="shared" si="198"/>
        <v>4.1002654853246687</v>
      </c>
      <c r="Q247" s="21">
        <v>9683.3679992500001</v>
      </c>
      <c r="R247" s="21">
        <f t="shared" si="199"/>
        <v>52.123118902660124</v>
      </c>
      <c r="S247" s="43">
        <v>2706.716061865</v>
      </c>
      <c r="T247" s="43">
        <f t="shared" si="200"/>
        <v>14.569567441747184</v>
      </c>
      <c r="U247" s="21">
        <v>94.296244239999993</v>
      </c>
      <c r="V247" s="21">
        <f t="shared" si="201"/>
        <v>0.5075728146422277</v>
      </c>
      <c r="W247" s="21">
        <v>1.8355293100000001</v>
      </c>
      <c r="X247" s="21">
        <f t="shared" si="202"/>
        <v>9.8801896697365884E-3</v>
      </c>
      <c r="Y247" s="21">
        <f t="shared" si="208"/>
        <v>716.93227512000078</v>
      </c>
      <c r="Z247" s="21">
        <f t="shared" si="203"/>
        <v>3.8590649683177118</v>
      </c>
      <c r="AA247" s="21">
        <v>12.740430310000001</v>
      </c>
      <c r="AB247" s="21">
        <f t="shared" si="204"/>
        <v>6.8578511523120764E-2</v>
      </c>
      <c r="AC247" s="21">
        <v>3.33646288</v>
      </c>
      <c r="AD247" s="21">
        <f t="shared" si="205"/>
        <v>1.7959335163346198E-2</v>
      </c>
      <c r="AE247" s="21">
        <v>42.478322669999997</v>
      </c>
      <c r="AF247" s="21">
        <f t="shared" si="206"/>
        <v>0.22865005889329626</v>
      </c>
      <c r="AG247" s="21">
        <v>47.197441159999997</v>
      </c>
      <c r="AH247" s="21">
        <f t="shared" si="207"/>
        <v>0.25405187922988404</v>
      </c>
      <c r="AI247" s="21">
        <v>399.49298209</v>
      </c>
    </row>
    <row r="248" spans="1:35" ht="15" customHeight="1" x14ac:dyDescent="0.25">
      <c r="A248" s="29" t="s">
        <v>55</v>
      </c>
      <c r="B248" s="21">
        <v>18818.200924164601</v>
      </c>
      <c r="C248" s="21">
        <v>661.21798656500005</v>
      </c>
      <c r="D248" s="21">
        <f t="shared" si="193"/>
        <v>3.513715201732833</v>
      </c>
      <c r="E248" s="21">
        <v>3150.5925383899998</v>
      </c>
      <c r="F248" s="21">
        <f t="shared" si="194"/>
        <v>16.742262191197561</v>
      </c>
      <c r="G248" s="21">
        <v>695.98228181000002</v>
      </c>
      <c r="H248" s="21">
        <f t="shared" si="209"/>
        <v>3.698452814988725</v>
      </c>
      <c r="I248" s="21">
        <v>597.30746406000003</v>
      </c>
      <c r="J248" s="21">
        <f t="shared" si="195"/>
        <v>3.1740944124631638</v>
      </c>
      <c r="K248" s="21">
        <v>1182.8470258100001</v>
      </c>
      <c r="L248" s="21">
        <f t="shared" si="196"/>
        <v>6.2856541418425227</v>
      </c>
      <c r="M248" s="21">
        <v>991.07376555999997</v>
      </c>
      <c r="N248" s="21">
        <f t="shared" si="197"/>
        <v>5.2665702186618395</v>
      </c>
      <c r="O248" s="21">
        <v>773.92462936000004</v>
      </c>
      <c r="P248" s="21">
        <f t="shared" si="198"/>
        <v>4.1126387824151527</v>
      </c>
      <c r="Q248" s="21">
        <v>9921.9070127396008</v>
      </c>
      <c r="R248" s="21">
        <f t="shared" si="199"/>
        <v>52.725056198112974</v>
      </c>
      <c r="S248" s="43">
        <v>2753.6469211049998</v>
      </c>
      <c r="T248" s="43">
        <f t="shared" si="200"/>
        <v>14.632891487352651</v>
      </c>
      <c r="U248" s="21">
        <v>102.21680716</v>
      </c>
      <c r="V248" s="21">
        <f t="shared" si="201"/>
        <v>0.54318054936241322</v>
      </c>
      <c r="W248" s="21">
        <v>1.7781839699999999</v>
      </c>
      <c r="X248" s="21">
        <f t="shared" si="202"/>
        <v>9.4492772033091636E-3</v>
      </c>
      <c r="Y248" s="21">
        <f t="shared" si="208"/>
        <v>624.00074125999834</v>
      </c>
      <c r="Z248" s="21">
        <f t="shared" si="203"/>
        <v>3.315942601392432</v>
      </c>
      <c r="AA248" s="21">
        <v>19.576412950000002</v>
      </c>
      <c r="AB248" s="21">
        <f t="shared" si="204"/>
        <v>0.10402914194024666</v>
      </c>
      <c r="AC248" s="21">
        <v>3.4066838700000002</v>
      </c>
      <c r="AD248" s="21">
        <f t="shared" si="205"/>
        <v>1.8103132620002217E-2</v>
      </c>
      <c r="AE248" s="21">
        <v>46.638757630000001</v>
      </c>
      <c r="AF248" s="21">
        <f t="shared" si="206"/>
        <v>0.24783855703289256</v>
      </c>
      <c r="AG248" s="21">
        <v>45.73063303</v>
      </c>
      <c r="AH248" s="21">
        <f t="shared" si="207"/>
        <v>0.24301277903392418</v>
      </c>
      <c r="AI248" s="21">
        <v>387.19033960000002</v>
      </c>
    </row>
    <row r="249" spans="1:35" ht="15" customHeight="1" x14ac:dyDescent="0.25">
      <c r="A249" s="29" t="s">
        <v>56</v>
      </c>
      <c r="B249" s="21">
        <v>18985.634951354601</v>
      </c>
      <c r="C249" s="21">
        <v>662.33321448499998</v>
      </c>
      <c r="D249" s="21">
        <f t="shared" si="193"/>
        <v>3.4886018623135033</v>
      </c>
      <c r="E249" s="21">
        <v>3115.71037376</v>
      </c>
      <c r="F249" s="21">
        <f t="shared" si="194"/>
        <v>16.410883184803353</v>
      </c>
      <c r="G249" s="21">
        <v>641.00740604999999</v>
      </c>
      <c r="H249" s="21">
        <f t="shared" si="209"/>
        <v>3.3762758406153011</v>
      </c>
      <c r="I249" s="21">
        <v>596.92004887999997</v>
      </c>
      <c r="J249" s="21">
        <f t="shared" si="195"/>
        <v>3.1440615518492865</v>
      </c>
      <c r="K249" s="21">
        <v>1203.07622195</v>
      </c>
      <c r="L249" s="21">
        <f t="shared" si="196"/>
        <v>6.336771064189044</v>
      </c>
      <c r="M249" s="21">
        <v>1048.15928214</v>
      </c>
      <c r="N249" s="21">
        <f t="shared" si="197"/>
        <v>5.5208018316248895</v>
      </c>
      <c r="O249" s="21">
        <v>782.08710939000002</v>
      </c>
      <c r="P249" s="21">
        <f t="shared" si="198"/>
        <v>4.1193624094947587</v>
      </c>
      <c r="Q249" s="21">
        <v>10108.676553429599</v>
      </c>
      <c r="R249" s="21">
        <f t="shared" si="199"/>
        <v>53.243816071099367</v>
      </c>
      <c r="S249" s="43">
        <v>2785.8421721350001</v>
      </c>
      <c r="T249" s="43">
        <f t="shared" si="200"/>
        <v>14.673421137996934</v>
      </c>
      <c r="U249" s="21">
        <v>103.68477823000001</v>
      </c>
      <c r="V249" s="21">
        <f t="shared" si="201"/>
        <v>0.54612225767356926</v>
      </c>
      <c r="W249" s="21">
        <v>1.66907546</v>
      </c>
      <c r="X249" s="21">
        <f t="shared" si="202"/>
        <v>8.7912543577106615E-3</v>
      </c>
      <c r="Y249" s="21">
        <f t="shared" si="208"/>
        <v>615.35368781000182</v>
      </c>
      <c r="Z249" s="21">
        <f t="shared" si="203"/>
        <v>3.2411541114462281</v>
      </c>
      <c r="AA249" s="21">
        <v>17.974159960000001</v>
      </c>
      <c r="AB249" s="21">
        <f t="shared" si="204"/>
        <v>9.4672419469002622E-2</v>
      </c>
      <c r="AC249" s="21">
        <v>3.3428964900000002</v>
      </c>
      <c r="AD249" s="21">
        <f t="shared" si="205"/>
        <v>1.7607504297671585E-2</v>
      </c>
      <c r="AE249" s="21">
        <v>48.924914289999997</v>
      </c>
      <c r="AF249" s="21">
        <f t="shared" si="206"/>
        <v>0.25769438006870171</v>
      </c>
      <c r="AG249" s="21">
        <v>36.715229030000003</v>
      </c>
      <c r="AH249" s="21">
        <f t="shared" si="207"/>
        <v>0.19338425669761661</v>
      </c>
      <c r="AI249" s="21">
        <v>386.11756955999999</v>
      </c>
    </row>
    <row r="250" spans="1:35" ht="15" customHeight="1" x14ac:dyDescent="0.25">
      <c r="A250" s="29" t="s">
        <v>57</v>
      </c>
      <c r="B250" s="21">
        <v>19136.822267444601</v>
      </c>
      <c r="C250" s="21">
        <v>659.66022400500003</v>
      </c>
      <c r="D250" s="21">
        <f t="shared" si="193"/>
        <v>3.4470729507020001</v>
      </c>
      <c r="E250" s="21">
        <v>3131.78905184</v>
      </c>
      <c r="F250" s="21">
        <f t="shared" si="194"/>
        <v>16.365251284001172</v>
      </c>
      <c r="G250" s="21">
        <v>608.92176690999997</v>
      </c>
      <c r="H250" s="21">
        <f t="shared" si="209"/>
        <v>3.1819377240383973</v>
      </c>
      <c r="I250" s="21">
        <v>598.84598287999995</v>
      </c>
      <c r="J250" s="21">
        <f t="shared" si="195"/>
        <v>3.129286432778088</v>
      </c>
      <c r="K250" s="21">
        <v>1192.52599936</v>
      </c>
      <c r="L250" s="21">
        <f t="shared" si="196"/>
        <v>6.2315779636450674</v>
      </c>
      <c r="M250" s="21">
        <v>1071.79060764</v>
      </c>
      <c r="N250" s="21">
        <f t="shared" si="197"/>
        <v>5.6006717973407794</v>
      </c>
      <c r="O250" s="21">
        <v>759.08607419999998</v>
      </c>
      <c r="P250" s="21">
        <f t="shared" si="198"/>
        <v>3.9666255117567286</v>
      </c>
      <c r="Q250" s="21">
        <v>10328.1667544296</v>
      </c>
      <c r="R250" s="21">
        <f t="shared" si="199"/>
        <v>53.970124245757297</v>
      </c>
      <c r="S250" s="43">
        <v>2835.292362355</v>
      </c>
      <c r="T250" s="43">
        <f t="shared" si="200"/>
        <v>14.815899540324285</v>
      </c>
      <c r="U250" s="21">
        <v>51.301633959999997</v>
      </c>
      <c r="V250" s="21">
        <f t="shared" si="201"/>
        <v>0.26807812312326224</v>
      </c>
      <c r="W250" s="21">
        <v>1.6189657099999999</v>
      </c>
      <c r="X250" s="21">
        <f t="shared" si="202"/>
        <v>8.4599505987687975E-3</v>
      </c>
      <c r="Y250" s="21">
        <f t="shared" si="208"/>
        <v>635.86570236999933</v>
      </c>
      <c r="Z250" s="21">
        <f t="shared" si="203"/>
        <v>3.3227340123847449</v>
      </c>
      <c r="AA250" s="21">
        <v>16.119905150000001</v>
      </c>
      <c r="AB250" s="21">
        <f t="shared" si="204"/>
        <v>8.4235015222057244E-2</v>
      </c>
      <c r="AC250" s="21">
        <v>2.9635350900000001</v>
      </c>
      <c r="AD250" s="21">
        <f t="shared" si="205"/>
        <v>1.5486035500478784E-2</v>
      </c>
      <c r="AE250" s="21">
        <v>44.760477219999999</v>
      </c>
      <c r="AF250" s="21">
        <f t="shared" si="206"/>
        <v>0.23389712562751938</v>
      </c>
      <c r="AG250" s="21">
        <v>33.405586679999999</v>
      </c>
      <c r="AH250" s="21">
        <f t="shared" si="207"/>
        <v>0.17456182752362862</v>
      </c>
      <c r="AI250" s="21">
        <v>396.32416848999998</v>
      </c>
    </row>
    <row r="251" spans="1:35" ht="15" customHeight="1" x14ac:dyDescent="0.25">
      <c r="A251" s="29" t="s">
        <v>58</v>
      </c>
      <c r="B251" s="21">
        <v>19701.683635566002</v>
      </c>
      <c r="C251" s="21">
        <v>649.54999275199998</v>
      </c>
      <c r="D251" s="21">
        <f t="shared" si="193"/>
        <v>3.2969263174006871</v>
      </c>
      <c r="E251" s="21">
        <v>3202.7953701800002</v>
      </c>
      <c r="F251" s="21">
        <f t="shared" si="194"/>
        <v>16.256455181313687</v>
      </c>
      <c r="G251" s="21">
        <v>636.63665910999998</v>
      </c>
      <c r="H251" s="21">
        <f t="shared" si="209"/>
        <v>3.2313820020981687</v>
      </c>
      <c r="I251" s="21">
        <v>618.19946554000001</v>
      </c>
      <c r="J251" s="21">
        <f t="shared" si="195"/>
        <v>3.137800184873591</v>
      </c>
      <c r="K251" s="21">
        <v>1241.44793663</v>
      </c>
      <c r="L251" s="21">
        <f t="shared" si="196"/>
        <v>6.3012276493411221</v>
      </c>
      <c r="M251" s="21">
        <v>1068.12796239</v>
      </c>
      <c r="N251" s="21">
        <f t="shared" si="197"/>
        <v>5.4215060100842702</v>
      </c>
      <c r="O251" s="21">
        <v>792.84583252000004</v>
      </c>
      <c r="P251" s="21">
        <f t="shared" si="198"/>
        <v>4.0242542068269422</v>
      </c>
      <c r="Q251" s="21">
        <v>10708.573506314</v>
      </c>
      <c r="R251" s="21">
        <f t="shared" si="199"/>
        <v>54.353595887524044</v>
      </c>
      <c r="S251" s="43">
        <v>2878.5758071549999</v>
      </c>
      <c r="T251" s="43">
        <f t="shared" si="200"/>
        <v>14.61081124030699</v>
      </c>
      <c r="U251" s="21">
        <v>45.119335769999999</v>
      </c>
      <c r="V251" s="21">
        <f t="shared" si="201"/>
        <v>0.22901258899797466</v>
      </c>
      <c r="W251" s="21">
        <v>1.55036112</v>
      </c>
      <c r="X251" s="21">
        <f t="shared" si="202"/>
        <v>7.8691808714319578E-3</v>
      </c>
      <c r="Y251" s="21">
        <f t="shared" si="208"/>
        <v>627.08584624000116</v>
      </c>
      <c r="Z251" s="21">
        <f t="shared" si="203"/>
        <v>3.1829048615315756</v>
      </c>
      <c r="AA251" s="21">
        <v>18.844386230000001</v>
      </c>
      <c r="AB251" s="21">
        <f t="shared" si="204"/>
        <v>9.5648608406144614E-2</v>
      </c>
      <c r="AC251" s="21">
        <v>10.19534859</v>
      </c>
      <c r="AD251" s="21">
        <f t="shared" si="205"/>
        <v>5.1748615897958518E-2</v>
      </c>
      <c r="AE251" s="21">
        <v>46.270571990000001</v>
      </c>
      <c r="AF251" s="21">
        <f t="shared" si="206"/>
        <v>0.23485592828458141</v>
      </c>
      <c r="AG251" s="21">
        <v>34.441060190000002</v>
      </c>
      <c r="AH251" s="21">
        <f t="shared" si="207"/>
        <v>0.17481277654781791</v>
      </c>
      <c r="AI251" s="21">
        <v>435.90259455</v>
      </c>
    </row>
    <row r="252" spans="1:35" ht="15" customHeight="1" x14ac:dyDescent="0.25">
      <c r="A252" s="29" t="s">
        <v>59</v>
      </c>
      <c r="B252" s="21">
        <v>20015.293326605999</v>
      </c>
      <c r="C252" s="21">
        <v>646.04418552200002</v>
      </c>
      <c r="D252" s="21">
        <f t="shared" si="193"/>
        <v>3.227752773741388</v>
      </c>
      <c r="E252" s="21">
        <v>3270.4270341199999</v>
      </c>
      <c r="F252" s="21">
        <f t="shared" si="194"/>
        <v>16.33964079743301</v>
      </c>
      <c r="G252" s="21">
        <v>660.06679864</v>
      </c>
      <c r="H252" s="21">
        <f t="shared" si="209"/>
        <v>3.2978122671956251</v>
      </c>
      <c r="I252" s="21">
        <v>623.55143829999997</v>
      </c>
      <c r="J252" s="21">
        <f t="shared" si="195"/>
        <v>3.115374969154828</v>
      </c>
      <c r="K252" s="21">
        <v>1181.5974957400001</v>
      </c>
      <c r="L252" s="21">
        <f t="shared" si="196"/>
        <v>5.9034732914422099</v>
      </c>
      <c r="M252" s="21">
        <v>1079.2514515</v>
      </c>
      <c r="N252" s="21">
        <f t="shared" si="197"/>
        <v>5.3921340741250541</v>
      </c>
      <c r="O252" s="21">
        <v>798.09464337999998</v>
      </c>
      <c r="P252" s="21">
        <f t="shared" si="198"/>
        <v>3.9874241678941864</v>
      </c>
      <c r="Q252" s="21">
        <v>10949.931660333999</v>
      </c>
      <c r="R252" s="21">
        <f t="shared" si="199"/>
        <v>54.70782506983516</v>
      </c>
      <c r="S252" s="43">
        <v>2957.2019756149998</v>
      </c>
      <c r="T252" s="43">
        <f t="shared" si="200"/>
        <v>14.774712153151611</v>
      </c>
      <c r="U252" s="21">
        <v>39.818400859999997</v>
      </c>
      <c r="V252" s="21">
        <f t="shared" si="201"/>
        <v>0.19893988167073254</v>
      </c>
      <c r="W252" s="21">
        <v>1.4508958000000001</v>
      </c>
      <c r="X252" s="21">
        <f t="shared" si="202"/>
        <v>7.2489359827235126E-3</v>
      </c>
      <c r="Y252" s="21">
        <f t="shared" si="208"/>
        <v>659.93844663999766</v>
      </c>
      <c r="Z252" s="21">
        <f t="shared" si="203"/>
        <v>3.297170997552918</v>
      </c>
      <c r="AA252" s="21">
        <v>16.342343849999999</v>
      </c>
      <c r="AB252" s="21">
        <f t="shared" si="204"/>
        <v>8.1649284791027218E-2</v>
      </c>
      <c r="AC252" s="21">
        <v>9.9599876599999995</v>
      </c>
      <c r="AD252" s="21">
        <f t="shared" si="205"/>
        <v>4.9761887060432691E-2</v>
      </c>
      <c r="AE252" s="21">
        <v>44.86484858</v>
      </c>
      <c r="AF252" s="21">
        <f t="shared" si="206"/>
        <v>0.22415284076982225</v>
      </c>
      <c r="AG252" s="21">
        <v>33.953695680000003</v>
      </c>
      <c r="AH252" s="21">
        <f t="shared" si="207"/>
        <v>0.16963876135088121</v>
      </c>
      <c r="AI252" s="21">
        <v>505.93548070999998</v>
      </c>
    </row>
    <row r="253" spans="1:35" ht="15" customHeight="1" x14ac:dyDescent="0.25">
      <c r="A253" s="29" t="s">
        <v>60</v>
      </c>
      <c r="B253" s="21">
        <v>20218.690699965999</v>
      </c>
      <c r="C253" s="21">
        <v>641.27898531200003</v>
      </c>
      <c r="D253" s="21">
        <f t="shared" si="193"/>
        <v>3.1717137119718561</v>
      </c>
      <c r="E253" s="21">
        <v>3340.3423845500001</v>
      </c>
      <c r="F253" s="21">
        <f t="shared" si="194"/>
        <v>16.521061794350597</v>
      </c>
      <c r="G253" s="21">
        <v>658.14727702000005</v>
      </c>
      <c r="H253" s="21">
        <f t="shared" si="209"/>
        <v>3.2551429110150383</v>
      </c>
      <c r="I253" s="21">
        <v>622.32410726000001</v>
      </c>
      <c r="J253" s="21">
        <f t="shared" si="195"/>
        <v>3.0779644265543196</v>
      </c>
      <c r="K253" s="21">
        <v>1141.5828099800001</v>
      </c>
      <c r="L253" s="21">
        <f t="shared" si="196"/>
        <v>5.6461757436247835</v>
      </c>
      <c r="M253" s="21">
        <v>1062.5943942500001</v>
      </c>
      <c r="N253" s="21">
        <f t="shared" si="197"/>
        <v>5.2555054628328977</v>
      </c>
      <c r="O253" s="21">
        <v>801.45013257000005</v>
      </c>
      <c r="P253" s="21">
        <f t="shared" si="198"/>
        <v>3.96390718104881</v>
      </c>
      <c r="Q253" s="21">
        <v>11135.042346804001</v>
      </c>
      <c r="R253" s="21">
        <f t="shared" si="199"/>
        <v>55.073013935678475</v>
      </c>
      <c r="S253" s="43">
        <v>3013.3954976049999</v>
      </c>
      <c r="T253" s="43">
        <f t="shared" si="200"/>
        <v>14.904009079134225</v>
      </c>
      <c r="U253" s="21">
        <v>42.826244639999999</v>
      </c>
      <c r="V253" s="21">
        <f t="shared" si="201"/>
        <v>0.21181512332087865</v>
      </c>
      <c r="W253" s="21">
        <v>1.3731461599999999</v>
      </c>
      <c r="X253" s="21">
        <f t="shared" si="202"/>
        <v>6.7914692418847332E-3</v>
      </c>
      <c r="Y253" s="21">
        <f t="shared" si="208"/>
        <v>670.02247618999706</v>
      </c>
      <c r="Z253" s="21">
        <f t="shared" si="203"/>
        <v>3.3138766804080135</v>
      </c>
      <c r="AA253" s="21">
        <v>14.977643390000001</v>
      </c>
      <c r="AB253" s="21">
        <f t="shared" si="204"/>
        <v>7.4078206211568326E-2</v>
      </c>
      <c r="AC253" s="21">
        <v>9.4026232400000005</v>
      </c>
      <c r="AD253" s="21">
        <f t="shared" si="205"/>
        <v>4.6504609915298881E-2</v>
      </c>
      <c r="AE253" s="21">
        <v>41.757781829999999</v>
      </c>
      <c r="AF253" s="21">
        <f t="shared" si="206"/>
        <v>0.20653059315097105</v>
      </c>
      <c r="AG253" s="21">
        <v>35.568346769999998</v>
      </c>
      <c r="AH253" s="21">
        <f t="shared" si="207"/>
        <v>0.17591815067461222</v>
      </c>
      <c r="AI253" s="21">
        <v>557.58788519999996</v>
      </c>
    </row>
    <row r="254" spans="1:35" ht="15" customHeight="1" x14ac:dyDescent="0.25">
      <c r="A254" s="29" t="s">
        <v>61</v>
      </c>
      <c r="B254" s="21">
        <v>20183.981847880001</v>
      </c>
      <c r="C254" s="21">
        <v>593.74010190000001</v>
      </c>
      <c r="D254" s="21">
        <f t="shared" si="193"/>
        <v>2.9416400905174354</v>
      </c>
      <c r="E254" s="21">
        <v>3302.9590024499998</v>
      </c>
      <c r="F254" s="21">
        <f t="shared" si="194"/>
        <v>16.364258684650583</v>
      </c>
      <c r="G254" s="21">
        <v>649.86065914000005</v>
      </c>
      <c r="H254" s="21">
        <f t="shared" si="209"/>
        <v>3.2196851148489185</v>
      </c>
      <c r="I254" s="21">
        <v>629.08630359999995</v>
      </c>
      <c r="J254" s="21">
        <f t="shared" si="195"/>
        <v>3.1167601533791274</v>
      </c>
      <c r="K254" s="21">
        <v>1097.3797512199999</v>
      </c>
      <c r="L254" s="21">
        <f t="shared" si="196"/>
        <v>5.4368843545866641</v>
      </c>
      <c r="M254" s="21">
        <v>1059.78559137</v>
      </c>
      <c r="N254" s="21">
        <f t="shared" si="197"/>
        <v>5.2506269543703201</v>
      </c>
      <c r="O254" s="21">
        <v>792.6693219</v>
      </c>
      <c r="P254" s="21">
        <f t="shared" si="198"/>
        <v>3.9272197521484449</v>
      </c>
      <c r="Q254" s="21">
        <v>11273.07877536</v>
      </c>
      <c r="R254" s="21">
        <f t="shared" si="199"/>
        <v>55.851609758279949</v>
      </c>
      <c r="S254" s="43">
        <v>3013.0127850049998</v>
      </c>
      <c r="T254" s="43">
        <f t="shared" si="200"/>
        <v>14.927742244880527</v>
      </c>
      <c r="U254" s="21">
        <v>11.43771877</v>
      </c>
      <c r="V254" s="21">
        <f t="shared" si="201"/>
        <v>5.666730606578179E-2</v>
      </c>
      <c r="W254" s="21">
        <v>1.2991616399999999</v>
      </c>
      <c r="X254" s="21">
        <f t="shared" si="202"/>
        <v>6.4365973463083332E-3</v>
      </c>
      <c r="Y254" s="21">
        <f t="shared" si="208"/>
        <v>677.34562013000254</v>
      </c>
      <c r="Z254" s="21">
        <f t="shared" si="203"/>
        <v>3.3558572596573488</v>
      </c>
      <c r="AA254" s="21">
        <v>12.71684417</v>
      </c>
      <c r="AB254" s="21">
        <f t="shared" si="204"/>
        <v>6.3004635387817184E-2</v>
      </c>
      <c r="AC254" s="21">
        <v>9.3437897400000001</v>
      </c>
      <c r="AD254" s="21">
        <f t="shared" si="205"/>
        <v>4.6293094248801125E-2</v>
      </c>
      <c r="AE254" s="21">
        <v>41.230349599999997</v>
      </c>
      <c r="AF254" s="21">
        <f t="shared" si="206"/>
        <v>0.2042726252467898</v>
      </c>
      <c r="AG254" s="21">
        <v>32.048856890000003</v>
      </c>
      <c r="AH254" s="21">
        <f t="shared" si="207"/>
        <v>0.15878361926572093</v>
      </c>
      <c r="AI254" s="21">
        <v>478.84730696000003</v>
      </c>
    </row>
    <row r="255" spans="1:35" ht="15" customHeight="1" x14ac:dyDescent="0.25">
      <c r="A255" s="29" t="s">
        <v>79</v>
      </c>
      <c r="B255" s="35">
        <v>23979.124360810001</v>
      </c>
      <c r="C255" s="35">
        <v>437.84492763999998</v>
      </c>
      <c r="D255" s="35">
        <v>1.8259421030218543</v>
      </c>
      <c r="E255" s="35">
        <v>3539.3461912500002</v>
      </c>
      <c r="F255" s="35">
        <v>14.760114414496673</v>
      </c>
      <c r="G255" s="35">
        <v>752.83353826999996</v>
      </c>
      <c r="H255" s="35">
        <v>3.1395372363987759</v>
      </c>
      <c r="I255" s="35">
        <v>532.83365170000002</v>
      </c>
      <c r="J255" s="35">
        <v>2.2220730151882879</v>
      </c>
      <c r="K255" s="35">
        <v>1133.75252679</v>
      </c>
      <c r="L255" s="35">
        <v>4.7280814333776719</v>
      </c>
      <c r="M255" s="35">
        <v>1210.8904500799999</v>
      </c>
      <c r="N255" s="35">
        <v>5.0497692570417811</v>
      </c>
      <c r="O255" s="35">
        <v>1426.2884051000001</v>
      </c>
      <c r="P255" s="35">
        <v>5.9480420704228782</v>
      </c>
      <c r="Q255" s="35">
        <v>14006.31972293</v>
      </c>
      <c r="R255" s="35">
        <v>58.410472009649631</v>
      </c>
      <c r="S255" s="35">
        <v>3630.8192389979999</v>
      </c>
      <c r="T255" s="35">
        <v>15.141583922605559</v>
      </c>
      <c r="U255" s="35">
        <v>10.48486535</v>
      </c>
      <c r="V255" s="35">
        <v>4.3724971738900588E-2</v>
      </c>
      <c r="W255" s="35">
        <v>0.99874423000000001</v>
      </c>
      <c r="X255" s="35">
        <v>4.165057134581136E-3</v>
      </c>
      <c r="Y255" s="35">
        <v>800.80814998000665</v>
      </c>
      <c r="Z255" s="35">
        <v>3.3396054748721267</v>
      </c>
      <c r="AA255" s="35">
        <v>22.32135551</v>
      </c>
      <c r="AB255" s="35">
        <v>9.3086616400724978E-2</v>
      </c>
      <c r="AC255" s="35">
        <v>5.89101915</v>
      </c>
      <c r="AD255" s="35">
        <v>2.4567282196625649E-2</v>
      </c>
      <c r="AE255" s="35">
        <v>51.208538439999998</v>
      </c>
      <c r="AF255" s="35">
        <v>0.21355466392130679</v>
      </c>
      <c r="AG255" s="35">
        <v>47.302274390000001</v>
      </c>
      <c r="AH255" s="35">
        <v>0.19726439413821095</v>
      </c>
      <c r="AI255" s="35">
        <v>568.78507174000003</v>
      </c>
    </row>
    <row r="256" spans="1:35" ht="15" customHeight="1" x14ac:dyDescent="0.25">
      <c r="A256" s="29" t="s">
        <v>50</v>
      </c>
      <c r="B256" s="21">
        <v>20259.212448210001</v>
      </c>
      <c r="C256" s="21">
        <v>583.77188913999998</v>
      </c>
      <c r="D256" s="21">
        <f t="shared" ref="D256:D267" si="210">C256/B256*100</f>
        <v>2.8815132406175001</v>
      </c>
      <c r="E256" s="21">
        <v>3247.41616931</v>
      </c>
      <c r="F256" s="21">
        <f t="shared" ref="F256:F267" si="211">E256/B256*100</f>
        <v>16.029330743293158</v>
      </c>
      <c r="G256" s="21">
        <v>635.89876159000005</v>
      </c>
      <c r="H256" s="21">
        <f t="shared" ref="H256:H267" si="212">G256/$B256*100</f>
        <v>3.1388128399146371</v>
      </c>
      <c r="I256" s="21">
        <v>617.09437964000006</v>
      </c>
      <c r="J256" s="21">
        <f t="shared" ref="J256:J267" si="213">I256/$B256*100</f>
        <v>3.0459939211236384</v>
      </c>
      <c r="K256" s="21">
        <v>1111.1583590400001</v>
      </c>
      <c r="L256" s="21">
        <f t="shared" ref="L256:L267" si="214">K256/$B256*100</f>
        <v>5.4847065841306986</v>
      </c>
      <c r="M256" s="21">
        <v>1075.01332781</v>
      </c>
      <c r="N256" s="21">
        <f t="shared" ref="N256:N271" si="215">M256/$B256*100</f>
        <v>5.3062937691093843</v>
      </c>
      <c r="O256" s="21">
        <v>785.51623904999997</v>
      </c>
      <c r="P256" s="21">
        <f t="shared" ref="P256:P267" si="216">O256/$B256*100</f>
        <v>3.8773286032616934</v>
      </c>
      <c r="Q256" s="21">
        <v>11407.06374125</v>
      </c>
      <c r="R256" s="21">
        <f t="shared" ref="R256:R267" si="217">Q256/$B256*100</f>
        <v>56.305563557372487</v>
      </c>
      <c r="S256" s="43">
        <v>3033.231074415</v>
      </c>
      <c r="T256" s="43">
        <f t="shared" ref="T256:T267" si="218">S256/$B256*100</f>
        <v>14.972107539565293</v>
      </c>
      <c r="U256" s="21">
        <v>10.79183666</v>
      </c>
      <c r="V256" s="21">
        <f t="shared" ref="V256:V267" si="219">U256/$B256*100</f>
        <v>5.3268786669708433E-2</v>
      </c>
      <c r="W256" s="21">
        <v>1.26489838</v>
      </c>
      <c r="X256" s="21">
        <f t="shared" ref="X256:X267" si="220">W256/$B256*100</f>
        <v>6.2435713295052589E-3</v>
      </c>
      <c r="Y256" s="21">
        <f t="shared" ref="Y256:Y267" si="221">((B256-C256-E256-G256-I256-K256-M256-W256-O256-Q256-U256-AA256-AC256-AE256-AG256))</f>
        <v>692.44319272999769</v>
      </c>
      <c r="Z256" s="21">
        <f t="shared" ref="Z256:Z267" si="222">Y256/$B256*100</f>
        <v>3.4179176238964728</v>
      </c>
      <c r="AA256" s="21">
        <v>16.94554686</v>
      </c>
      <c r="AB256" s="21">
        <f t="shared" ref="AB256:AB267" si="223">AA256/$B256*100</f>
        <v>8.3643660400516809E-2</v>
      </c>
      <c r="AC256" s="21">
        <v>8.3574958899999992</v>
      </c>
      <c r="AD256" s="21">
        <f t="shared" ref="AD256:AD267" si="224">AC256/$B256*100</f>
        <v>4.1252817262096605E-2</v>
      </c>
      <c r="AE256" s="21">
        <v>36.751194439999999</v>
      </c>
      <c r="AF256" s="21">
        <f t="shared" ref="AF256:AF267" si="225">AE256/$B256*100</f>
        <v>0.18140485240455212</v>
      </c>
      <c r="AG256" s="21">
        <v>29.725416419999998</v>
      </c>
      <c r="AH256" s="21">
        <f t="shared" ref="AH256:AH267" si="226">AG256/$B256*100</f>
        <v>0.14672542921393958</v>
      </c>
      <c r="AI256" s="21">
        <v>583.94934007999996</v>
      </c>
    </row>
    <row r="257" spans="1:35" ht="15" customHeight="1" x14ac:dyDescent="0.25">
      <c r="A257" s="29" t="s">
        <v>51</v>
      </c>
      <c r="B257" s="21">
        <v>20347.050737609999</v>
      </c>
      <c r="C257" s="21">
        <v>606.13546266000003</v>
      </c>
      <c r="D257" s="21">
        <f t="shared" si="210"/>
        <v>2.9789843770311344</v>
      </c>
      <c r="E257" s="21">
        <v>3243.5849437799998</v>
      </c>
      <c r="F257" s="21">
        <f t="shared" si="211"/>
        <v>15.941302676286522</v>
      </c>
      <c r="G257" s="21">
        <v>644.41744976999996</v>
      </c>
      <c r="H257" s="21">
        <f t="shared" si="212"/>
        <v>3.1671295170992151</v>
      </c>
      <c r="I257" s="21">
        <v>618.30798354000001</v>
      </c>
      <c r="J257" s="21">
        <f t="shared" si="213"/>
        <v>3.0388088746301891</v>
      </c>
      <c r="K257" s="21">
        <v>1064.9839177199999</v>
      </c>
      <c r="L257" s="21">
        <f t="shared" si="214"/>
        <v>5.234094766134616</v>
      </c>
      <c r="M257" s="21">
        <v>1075.9234112300001</v>
      </c>
      <c r="N257" s="21">
        <f t="shared" si="215"/>
        <v>5.2878592829241642</v>
      </c>
      <c r="O257" s="21">
        <v>770.35645824000005</v>
      </c>
      <c r="P257" s="21">
        <f t="shared" si="216"/>
        <v>3.7860841267577605</v>
      </c>
      <c r="Q257" s="21">
        <v>11548.47191996</v>
      </c>
      <c r="R257" s="21">
        <f t="shared" si="217"/>
        <v>56.75747344854021</v>
      </c>
      <c r="S257" s="43">
        <v>3073.8682376649999</v>
      </c>
      <c r="T257" s="43">
        <f t="shared" si="218"/>
        <v>15.107193063529275</v>
      </c>
      <c r="U257" s="21">
        <v>9.5349035099999995</v>
      </c>
      <c r="V257" s="21">
        <f t="shared" si="219"/>
        <v>4.6861354173435288E-2</v>
      </c>
      <c r="W257" s="21">
        <v>1.26489838</v>
      </c>
      <c r="X257" s="21">
        <f t="shared" si="220"/>
        <v>6.2166178101769323E-3</v>
      </c>
      <c r="Y257" s="21">
        <f t="shared" si="221"/>
        <v>668.99798440999916</v>
      </c>
      <c r="Z257" s="21">
        <f t="shared" si="222"/>
        <v>3.28793589320248</v>
      </c>
      <c r="AA257" s="21">
        <v>17.696519609999999</v>
      </c>
      <c r="AB257" s="21">
        <f t="shared" si="223"/>
        <v>8.6973389107883381E-2</v>
      </c>
      <c r="AC257" s="21">
        <v>8.2779702900000007</v>
      </c>
      <c r="AD257" s="21">
        <f t="shared" si="224"/>
        <v>4.0683882872021314E-2</v>
      </c>
      <c r="AE257" s="21">
        <v>35.427067219999998</v>
      </c>
      <c r="AF257" s="21">
        <f t="shared" si="225"/>
        <v>0.17411401621226469</v>
      </c>
      <c r="AG257" s="21">
        <v>33.66984729</v>
      </c>
      <c r="AH257" s="21">
        <f t="shared" si="226"/>
        <v>0.16547777721792284</v>
      </c>
      <c r="AI257" s="21">
        <v>483.48919921999999</v>
      </c>
    </row>
    <row r="258" spans="1:35" ht="15" customHeight="1" x14ac:dyDescent="0.25">
      <c r="A258" s="29" t="s">
        <v>52</v>
      </c>
      <c r="B258" s="21">
        <v>20664.848433421801</v>
      </c>
      <c r="C258" s="21">
        <v>590.48680544000001</v>
      </c>
      <c r="D258" s="21">
        <f t="shared" si="210"/>
        <v>2.8574456151586878</v>
      </c>
      <c r="E258" s="21">
        <v>3296.8830706700001</v>
      </c>
      <c r="F258" s="21">
        <f t="shared" si="211"/>
        <v>15.954063642382513</v>
      </c>
      <c r="G258" s="21">
        <v>670.66004845999998</v>
      </c>
      <c r="H258" s="21">
        <f t="shared" si="212"/>
        <v>3.2454147951809986</v>
      </c>
      <c r="I258" s="21">
        <v>572.32339912999998</v>
      </c>
      <c r="J258" s="21">
        <f t="shared" si="213"/>
        <v>2.7695504323388422</v>
      </c>
      <c r="K258" s="21">
        <v>1056.91608202</v>
      </c>
      <c r="L258" s="21">
        <f t="shared" si="214"/>
        <v>5.1145600483119047</v>
      </c>
      <c r="M258" s="21">
        <v>1091.93672019</v>
      </c>
      <c r="N258" s="21">
        <f t="shared" si="215"/>
        <v>5.2840296589060971</v>
      </c>
      <c r="O258" s="21">
        <v>800.97040360000005</v>
      </c>
      <c r="P258" s="21">
        <f t="shared" si="216"/>
        <v>3.8760042503121852</v>
      </c>
      <c r="Q258" s="21">
        <v>11784.627929721801</v>
      </c>
      <c r="R258" s="21">
        <f t="shared" si="217"/>
        <v>57.027410424468506</v>
      </c>
      <c r="S258" s="43">
        <v>3134.11775412</v>
      </c>
      <c r="T258" s="43">
        <f t="shared" si="218"/>
        <v>15.166420233942338</v>
      </c>
      <c r="U258" s="21">
        <v>9.5150901700000006</v>
      </c>
      <c r="V258" s="21">
        <f t="shared" si="219"/>
        <v>4.6044809864712079E-2</v>
      </c>
      <c r="W258" s="21">
        <v>1.25457079</v>
      </c>
      <c r="X258" s="21">
        <f t="shared" si="220"/>
        <v>6.071037946598001E-3</v>
      </c>
      <c r="Y258" s="21">
        <f t="shared" si="221"/>
        <v>694.24130842000011</v>
      </c>
      <c r="Z258" s="21">
        <f t="shared" si="222"/>
        <v>3.3595277054981221</v>
      </c>
      <c r="AA258" s="21">
        <v>11.73787692</v>
      </c>
      <c r="AB258" s="21">
        <f t="shared" si="223"/>
        <v>5.6801175957409987E-2</v>
      </c>
      <c r="AC258" s="21">
        <v>7.5874155999999999</v>
      </c>
      <c r="AD258" s="21">
        <f t="shared" si="224"/>
        <v>3.6716531575081257E-2</v>
      </c>
      <c r="AE258" s="21">
        <v>43.05704686</v>
      </c>
      <c r="AF258" s="21">
        <f t="shared" si="225"/>
        <v>0.20835888053436052</v>
      </c>
      <c r="AG258" s="21">
        <v>32.650665429999997</v>
      </c>
      <c r="AH258" s="21">
        <f t="shared" si="226"/>
        <v>0.15800099156397981</v>
      </c>
      <c r="AI258" s="21">
        <v>467.39142919</v>
      </c>
    </row>
    <row r="259" spans="1:35" ht="15" customHeight="1" x14ac:dyDescent="0.25">
      <c r="A259" s="29" t="s">
        <v>53</v>
      </c>
      <c r="B259" s="21">
        <v>21005.880584801798</v>
      </c>
      <c r="C259" s="21">
        <v>591.79680065000002</v>
      </c>
      <c r="D259" s="21">
        <f t="shared" si="210"/>
        <v>2.8172910831368698</v>
      </c>
      <c r="E259" s="21">
        <v>3342.7020175500002</v>
      </c>
      <c r="F259" s="21">
        <f t="shared" si="211"/>
        <v>15.913172523548077</v>
      </c>
      <c r="G259" s="21">
        <v>676.63458027000001</v>
      </c>
      <c r="H259" s="21">
        <f t="shared" si="212"/>
        <v>3.2211674132793058</v>
      </c>
      <c r="I259" s="21">
        <v>545.48796477999997</v>
      </c>
      <c r="J259" s="21">
        <f t="shared" si="213"/>
        <v>2.5968345510574413</v>
      </c>
      <c r="K259" s="21">
        <v>1071.82253182</v>
      </c>
      <c r="L259" s="21">
        <f t="shared" si="214"/>
        <v>5.102487979463648</v>
      </c>
      <c r="M259" s="21">
        <v>1065.1380490900001</v>
      </c>
      <c r="N259" s="21">
        <f t="shared" si="215"/>
        <v>5.0706660203555103</v>
      </c>
      <c r="O259" s="21">
        <v>824.09913245999996</v>
      </c>
      <c r="P259" s="21">
        <f t="shared" si="216"/>
        <v>3.9231829826560718</v>
      </c>
      <c r="Q259" s="21">
        <v>12083.9522709718</v>
      </c>
      <c r="R259" s="21">
        <f t="shared" si="217"/>
        <v>57.526520833955409</v>
      </c>
      <c r="S259" s="43">
        <v>3206.248895745</v>
      </c>
      <c r="T259" s="43">
        <f t="shared" si="218"/>
        <v>15.263577657700242</v>
      </c>
      <c r="U259" s="21">
        <v>9.4727845100000003</v>
      </c>
      <c r="V259" s="21">
        <f t="shared" si="219"/>
        <v>4.5095869567371348E-2</v>
      </c>
      <c r="W259" s="21">
        <v>1.2504472799999999</v>
      </c>
      <c r="X259" s="21">
        <f t="shared" si="220"/>
        <v>5.9528438950791959E-3</v>
      </c>
      <c r="Y259" s="21">
        <f t="shared" si="221"/>
        <v>690.35638546999542</v>
      </c>
      <c r="Z259" s="21">
        <f t="shared" si="222"/>
        <v>3.286491050365596</v>
      </c>
      <c r="AA259" s="21">
        <v>11.99978645</v>
      </c>
      <c r="AB259" s="21">
        <f t="shared" si="223"/>
        <v>5.7125843411116511E-2</v>
      </c>
      <c r="AC259" s="21">
        <v>7.2979885099999997</v>
      </c>
      <c r="AD259" s="21">
        <f t="shared" si="224"/>
        <v>3.4742597343337511E-2</v>
      </c>
      <c r="AE259" s="21">
        <v>47.326298690000002</v>
      </c>
      <c r="AF259" s="21">
        <f t="shared" si="225"/>
        <v>0.22530023675485228</v>
      </c>
      <c r="AG259" s="21">
        <v>36.543546300000003</v>
      </c>
      <c r="AH259" s="21">
        <f t="shared" si="226"/>
        <v>0.17396817121030403</v>
      </c>
      <c r="AI259" s="21">
        <v>515.80844041</v>
      </c>
    </row>
    <row r="260" spans="1:35" ht="15" customHeight="1" x14ac:dyDescent="0.25">
      <c r="A260" s="29" t="s">
        <v>54</v>
      </c>
      <c r="B260" s="21">
        <v>21285.5233731218</v>
      </c>
      <c r="C260" s="21">
        <v>490.09126863</v>
      </c>
      <c r="D260" s="21">
        <f t="shared" si="210"/>
        <v>2.302462852517221</v>
      </c>
      <c r="E260" s="21">
        <v>3359.4950193099999</v>
      </c>
      <c r="F260" s="21">
        <f t="shared" si="211"/>
        <v>15.783004065346063</v>
      </c>
      <c r="G260" s="21">
        <v>697.04375790999995</v>
      </c>
      <c r="H260" s="21">
        <f t="shared" si="212"/>
        <v>3.2747315895938405</v>
      </c>
      <c r="I260" s="21">
        <v>539.13498789000005</v>
      </c>
      <c r="J260" s="21">
        <f t="shared" si="213"/>
        <v>2.5328716538433365</v>
      </c>
      <c r="K260" s="21">
        <v>1113.4026703699999</v>
      </c>
      <c r="L260" s="21">
        <f t="shared" si="214"/>
        <v>5.230797715671601</v>
      </c>
      <c r="M260" s="21">
        <v>1036.48163393</v>
      </c>
      <c r="N260" s="21">
        <f t="shared" si="215"/>
        <v>4.8694204777638337</v>
      </c>
      <c r="O260" s="21">
        <v>860.07449254999995</v>
      </c>
      <c r="P260" s="21">
        <f t="shared" si="216"/>
        <v>4.0406546622013311</v>
      </c>
      <c r="Q260" s="21">
        <v>12362.8372992118</v>
      </c>
      <c r="R260" s="21">
        <f t="shared" si="217"/>
        <v>58.080964618529975</v>
      </c>
      <c r="S260" s="43">
        <v>3238.574465915</v>
      </c>
      <c r="T260" s="43">
        <f t="shared" si="218"/>
        <v>15.214915833380427</v>
      </c>
      <c r="U260" s="21">
        <v>8.9164827500000001</v>
      </c>
      <c r="V260" s="21">
        <f t="shared" si="219"/>
        <v>4.1889891987618444E-2</v>
      </c>
      <c r="W260" s="21">
        <v>1.2434237299999999</v>
      </c>
      <c r="X260" s="21">
        <f t="shared" si="220"/>
        <v>5.8416403872414415E-3</v>
      </c>
      <c r="Y260" s="21">
        <f t="shared" si="221"/>
        <v>699.70547749999798</v>
      </c>
      <c r="Z260" s="21">
        <f t="shared" si="222"/>
        <v>3.2872364246563368</v>
      </c>
      <c r="AA260" s="21">
        <v>12.02080232</v>
      </c>
      <c r="AB260" s="21">
        <f t="shared" si="223"/>
        <v>5.6474074464991614E-2</v>
      </c>
      <c r="AC260" s="21">
        <v>8.3346918399999996</v>
      </c>
      <c r="AD260" s="21">
        <f t="shared" si="224"/>
        <v>3.9156621586879069E-2</v>
      </c>
      <c r="AE260" s="21">
        <v>60.183277689999997</v>
      </c>
      <c r="AF260" s="21">
        <f t="shared" si="225"/>
        <v>0.28274276669182663</v>
      </c>
      <c r="AG260" s="21">
        <v>36.558087489999998</v>
      </c>
      <c r="AH260" s="21">
        <f t="shared" si="226"/>
        <v>0.17175094475789851</v>
      </c>
      <c r="AI260" s="21">
        <v>596.28195231999996</v>
      </c>
    </row>
    <row r="261" spans="1:35" ht="15" customHeight="1" x14ac:dyDescent="0.25">
      <c r="A261" s="29" t="s">
        <v>55</v>
      </c>
      <c r="B261" s="21">
        <v>21966.172727879999</v>
      </c>
      <c r="C261" s="21">
        <v>502.27205501999998</v>
      </c>
      <c r="D261" s="21">
        <f t="shared" si="210"/>
        <v>2.2865706340481613</v>
      </c>
      <c r="E261" s="21">
        <v>3446.7806158399999</v>
      </c>
      <c r="F261" s="21">
        <f t="shared" si="211"/>
        <v>15.691311629655278</v>
      </c>
      <c r="G261" s="21">
        <v>711.09146715999998</v>
      </c>
      <c r="H261" s="21">
        <f t="shared" si="212"/>
        <v>3.237211488633454</v>
      </c>
      <c r="I261" s="21">
        <v>538.60912441999994</v>
      </c>
      <c r="J261" s="21">
        <f t="shared" si="213"/>
        <v>2.4519934860403976</v>
      </c>
      <c r="K261" s="21">
        <v>1155.77542103</v>
      </c>
      <c r="L261" s="21">
        <f t="shared" si="214"/>
        <v>5.2616149173909648</v>
      </c>
      <c r="M261" s="21">
        <v>1083.2783184800001</v>
      </c>
      <c r="N261" s="21">
        <f t="shared" si="215"/>
        <v>4.9315751628642932</v>
      </c>
      <c r="O261" s="21">
        <v>1095.2785608700001</v>
      </c>
      <c r="P261" s="21">
        <f t="shared" si="216"/>
        <v>4.9862057193051479</v>
      </c>
      <c r="Q261" s="21">
        <v>12573.29733179</v>
      </c>
      <c r="R261" s="21">
        <f t="shared" si="217"/>
        <v>57.239362940234308</v>
      </c>
      <c r="S261" s="43">
        <v>3301.44</v>
      </c>
      <c r="T261" s="43">
        <f t="shared" si="218"/>
        <v>15.029655101499465</v>
      </c>
      <c r="U261" s="21">
        <v>8.6067415799999996</v>
      </c>
      <c r="V261" s="21">
        <f t="shared" si="219"/>
        <v>3.9181798698487487E-2</v>
      </c>
      <c r="W261" s="21">
        <v>1.2157589</v>
      </c>
      <c r="X261" s="21">
        <f t="shared" si="220"/>
        <v>5.5346869710121566E-3</v>
      </c>
      <c r="Y261" s="21">
        <f t="shared" si="221"/>
        <v>726.62644211000259</v>
      </c>
      <c r="Z261" s="21">
        <f t="shared" si="222"/>
        <v>3.3079337539204121</v>
      </c>
      <c r="AA261" s="21">
        <v>12.08295867</v>
      </c>
      <c r="AB261" s="21">
        <f t="shared" si="223"/>
        <v>5.5007118534873473E-2</v>
      </c>
      <c r="AC261" s="21">
        <v>7.8582671900000003</v>
      </c>
      <c r="AD261" s="21">
        <f t="shared" si="224"/>
        <v>3.5774403157752183E-2</v>
      </c>
      <c r="AE261" s="21">
        <v>65.750080830000002</v>
      </c>
      <c r="AF261" s="21">
        <f t="shared" si="225"/>
        <v>0.29932424571417671</v>
      </c>
      <c r="AG261" s="21">
        <v>37.649583989999996</v>
      </c>
      <c r="AH261" s="21">
        <f t="shared" si="226"/>
        <v>0.17139801483129663</v>
      </c>
      <c r="AI261" s="21">
        <v>691.60768736</v>
      </c>
    </row>
    <row r="262" spans="1:35" ht="15" customHeight="1" x14ac:dyDescent="0.25">
      <c r="A262" s="29" t="s">
        <v>56</v>
      </c>
      <c r="B262" s="21">
        <v>22041.926831839999</v>
      </c>
      <c r="C262" s="21">
        <v>494.71576025000002</v>
      </c>
      <c r="D262" s="21">
        <f t="shared" si="210"/>
        <v>2.2444306435831796</v>
      </c>
      <c r="E262" s="21">
        <v>3409.3127905199999</v>
      </c>
      <c r="F262" s="21">
        <f t="shared" si="211"/>
        <v>15.467399091422354</v>
      </c>
      <c r="G262" s="21">
        <v>692.48459878999995</v>
      </c>
      <c r="H262" s="21">
        <f t="shared" si="212"/>
        <v>3.1416699822707526</v>
      </c>
      <c r="I262" s="21">
        <v>535.59662333000006</v>
      </c>
      <c r="J262" s="21">
        <f t="shared" si="213"/>
        <v>2.4298992888240614</v>
      </c>
      <c r="K262" s="21">
        <v>1127.5207581300001</v>
      </c>
      <c r="L262" s="21">
        <f t="shared" si="214"/>
        <v>5.1153457078955276</v>
      </c>
      <c r="M262" s="21">
        <v>1087.9977212599999</v>
      </c>
      <c r="N262" s="21">
        <f t="shared" si="215"/>
        <v>4.9360372600836584</v>
      </c>
      <c r="O262" s="21">
        <v>1081.3042682600001</v>
      </c>
      <c r="P262" s="21">
        <f t="shared" si="216"/>
        <v>4.9056703459247251</v>
      </c>
      <c r="Q262" s="21">
        <v>12734.07875904</v>
      </c>
      <c r="R262" s="21">
        <f t="shared" si="217"/>
        <v>57.772076171877004</v>
      </c>
      <c r="S262" s="43">
        <v>3382.5825643650001</v>
      </c>
      <c r="T262" s="43">
        <f t="shared" si="218"/>
        <v>15.346129175416701</v>
      </c>
      <c r="U262" s="21">
        <v>8.4210755299999995</v>
      </c>
      <c r="V262" s="21">
        <f t="shared" si="219"/>
        <v>3.8204806658896945E-2</v>
      </c>
      <c r="W262" s="21">
        <v>1.1841531000000001</v>
      </c>
      <c r="X262" s="21">
        <f t="shared" si="220"/>
        <v>5.3722757952787848E-3</v>
      </c>
      <c r="Y262" s="21">
        <f t="shared" si="221"/>
        <v>735.31217184999673</v>
      </c>
      <c r="Z262" s="21">
        <f t="shared" si="222"/>
        <v>3.335970477806975</v>
      </c>
      <c r="AA262" s="21">
        <v>16.55457453</v>
      </c>
      <c r="AB262" s="21">
        <f t="shared" si="223"/>
        <v>7.5104933685228414E-2</v>
      </c>
      <c r="AC262" s="21">
        <v>6.5376349600000001</v>
      </c>
      <c r="AD262" s="21">
        <f t="shared" si="224"/>
        <v>2.9659997557728291E-2</v>
      </c>
      <c r="AE262" s="21">
        <v>71.215766669999994</v>
      </c>
      <c r="AF262" s="21">
        <f t="shared" si="225"/>
        <v>0.32309229230870784</v>
      </c>
      <c r="AG262" s="21">
        <v>39.690175619999998</v>
      </c>
      <c r="AH262" s="21">
        <f t="shared" si="226"/>
        <v>0.1800667243059112</v>
      </c>
      <c r="AI262" s="21">
        <v>667.30512982000005</v>
      </c>
    </row>
    <row r="263" spans="1:35" ht="15" customHeight="1" x14ac:dyDescent="0.25">
      <c r="A263" s="29" t="s">
        <v>57</v>
      </c>
      <c r="B263" s="21">
        <v>22484.122831910001</v>
      </c>
      <c r="C263" s="21">
        <v>534.25918471</v>
      </c>
      <c r="D263" s="21">
        <f t="shared" si="210"/>
        <v>2.3761620086497954</v>
      </c>
      <c r="E263" s="21">
        <v>3453.5601029999998</v>
      </c>
      <c r="F263" s="21">
        <f t="shared" si="211"/>
        <v>15.359994823096345</v>
      </c>
      <c r="G263" s="21">
        <v>702.39144658999999</v>
      </c>
      <c r="H263" s="21">
        <f t="shared" si="212"/>
        <v>3.1239441798154091</v>
      </c>
      <c r="I263" s="21">
        <v>540.77069320999999</v>
      </c>
      <c r="J263" s="21">
        <f t="shared" si="213"/>
        <v>2.4051224824413668</v>
      </c>
      <c r="K263" s="21">
        <v>1098.7594971000001</v>
      </c>
      <c r="L263" s="21">
        <f t="shared" si="214"/>
        <v>4.8868239393382717</v>
      </c>
      <c r="M263" s="21">
        <v>1102.0354385400001</v>
      </c>
      <c r="N263" s="21">
        <f t="shared" si="215"/>
        <v>4.9013939604348948</v>
      </c>
      <c r="O263" s="21">
        <v>1103.7964372399999</v>
      </c>
      <c r="P263" s="21">
        <f t="shared" si="216"/>
        <v>4.9092261481220243</v>
      </c>
      <c r="Q263" s="21">
        <v>13063.911757329999</v>
      </c>
      <c r="R263" s="21">
        <f t="shared" si="217"/>
        <v>58.102830406127225</v>
      </c>
      <c r="S263" s="43">
        <v>3468.159374715</v>
      </c>
      <c r="T263" s="43">
        <f t="shared" si="218"/>
        <v>15.424926294179937</v>
      </c>
      <c r="U263" s="21">
        <v>8.1414122199999994</v>
      </c>
      <c r="V263" s="21">
        <f t="shared" si="219"/>
        <v>3.6209605688710768E-2</v>
      </c>
      <c r="W263" s="21">
        <v>1.1841531000000001</v>
      </c>
      <c r="X263" s="21">
        <f t="shared" si="220"/>
        <v>5.2666190664971005E-3</v>
      </c>
      <c r="Y263" s="21">
        <f t="shared" si="221"/>
        <v>738.13590403999888</v>
      </c>
      <c r="Z263" s="21">
        <f t="shared" si="222"/>
        <v>3.2829206171762189</v>
      </c>
      <c r="AA263" s="21">
        <v>14.859283550000001</v>
      </c>
      <c r="AB263" s="21">
        <f t="shared" si="223"/>
        <v>6.6087895272086639E-2</v>
      </c>
      <c r="AC263" s="21">
        <v>6.6377927999999997</v>
      </c>
      <c r="AD263" s="21">
        <f t="shared" si="224"/>
        <v>2.9522133683505262E-2</v>
      </c>
      <c r="AE263" s="21">
        <v>76.776077049999998</v>
      </c>
      <c r="AF263" s="21">
        <f t="shared" si="225"/>
        <v>0.34146796663571666</v>
      </c>
      <c r="AG263" s="21">
        <v>38.903651429999996</v>
      </c>
      <c r="AH263" s="21">
        <f t="shared" si="226"/>
        <v>0.17302721445191097</v>
      </c>
      <c r="AI263" s="21">
        <v>857.50713882000002</v>
      </c>
    </row>
    <row r="264" spans="1:35" ht="15" customHeight="1" x14ac:dyDescent="0.25">
      <c r="A264" s="29" t="s">
        <v>58</v>
      </c>
      <c r="B264" s="21">
        <v>23018.645831869999</v>
      </c>
      <c r="C264" s="21">
        <v>519.77127536</v>
      </c>
      <c r="D264" s="21">
        <f t="shared" si="210"/>
        <v>2.2580445398762827</v>
      </c>
      <c r="E264" s="21">
        <v>3542.65533766</v>
      </c>
      <c r="F264" s="21">
        <f t="shared" si="211"/>
        <v>15.390372498607579</v>
      </c>
      <c r="G264" s="21">
        <v>736.63132667000002</v>
      </c>
      <c r="H264" s="21">
        <f t="shared" si="212"/>
        <v>3.2001505738018352</v>
      </c>
      <c r="I264" s="21">
        <v>564.96556812999995</v>
      </c>
      <c r="J264" s="21">
        <f t="shared" si="213"/>
        <v>2.4543822962330317</v>
      </c>
      <c r="K264" s="21">
        <v>1118.94470019</v>
      </c>
      <c r="L264" s="21">
        <f t="shared" si="214"/>
        <v>4.861036171992307</v>
      </c>
      <c r="M264" s="21">
        <v>1111.5770926499999</v>
      </c>
      <c r="N264" s="21">
        <f t="shared" si="215"/>
        <v>4.829029043537342</v>
      </c>
      <c r="O264" s="21">
        <v>1110.42330072</v>
      </c>
      <c r="P264" s="21">
        <f t="shared" si="216"/>
        <v>4.8240166203981731</v>
      </c>
      <c r="Q264" s="21">
        <v>13395.745196129999</v>
      </c>
      <c r="R264" s="21">
        <f t="shared" si="217"/>
        <v>58.195192254025621</v>
      </c>
      <c r="S264" s="43">
        <v>3530.3781172650001</v>
      </c>
      <c r="T264" s="43">
        <f t="shared" si="218"/>
        <v>15.337036518356292</v>
      </c>
      <c r="U264" s="21">
        <v>44.925825340000003</v>
      </c>
      <c r="V264" s="21">
        <f t="shared" si="219"/>
        <v>0.19517145217030477</v>
      </c>
      <c r="W264" s="21">
        <v>1.1291530999999999</v>
      </c>
      <c r="X264" s="21">
        <f t="shared" si="220"/>
        <v>4.9053845662660744E-3</v>
      </c>
      <c r="Y264" s="21">
        <f t="shared" si="221"/>
        <v>752.77810229999875</v>
      </c>
      <c r="Z264" s="21">
        <f t="shared" si="222"/>
        <v>3.270297079152046</v>
      </c>
      <c r="AA264" s="21">
        <v>15.7435723</v>
      </c>
      <c r="AB264" s="21">
        <f t="shared" si="223"/>
        <v>6.8394867426139191E-2</v>
      </c>
      <c r="AC264" s="21">
        <v>6.3298390400000004</v>
      </c>
      <c r="AD264" s="21">
        <f t="shared" si="224"/>
        <v>2.7498746391224068E-2</v>
      </c>
      <c r="AE264" s="21">
        <v>55.875050260000002</v>
      </c>
      <c r="AF264" s="21">
        <f t="shared" si="225"/>
        <v>0.24273821608845181</v>
      </c>
      <c r="AG264" s="21">
        <v>41.150492020000002</v>
      </c>
      <c r="AH264" s="21">
        <f t="shared" si="226"/>
        <v>0.17877025573340169</v>
      </c>
      <c r="AI264" s="21">
        <v>782.22745200999998</v>
      </c>
    </row>
    <row r="265" spans="1:35" ht="15" customHeight="1" x14ac:dyDescent="0.25">
      <c r="A265" s="29" t="s">
        <v>59</v>
      </c>
      <c r="B265" s="21">
        <v>23196.472673640001</v>
      </c>
      <c r="C265" s="21">
        <v>440.37917463999997</v>
      </c>
      <c r="D265" s="21">
        <f t="shared" si="210"/>
        <v>1.8984747415517096</v>
      </c>
      <c r="E265" s="21">
        <v>3489.5043867499999</v>
      </c>
      <c r="F265" s="21">
        <f t="shared" si="211"/>
        <v>15.043254359596672</v>
      </c>
      <c r="G265" s="21">
        <v>746.99813673000006</v>
      </c>
      <c r="H265" s="21">
        <f t="shared" si="212"/>
        <v>3.2203091704493225</v>
      </c>
      <c r="I265" s="21">
        <v>534.44156347000001</v>
      </c>
      <c r="J265" s="21">
        <f t="shared" si="213"/>
        <v>2.3039777253604963</v>
      </c>
      <c r="K265" s="21">
        <v>1104.7356531200001</v>
      </c>
      <c r="L265" s="21">
        <f t="shared" si="214"/>
        <v>4.7625157008263548</v>
      </c>
      <c r="M265" s="21">
        <v>1152.81556647</v>
      </c>
      <c r="N265" s="21">
        <f t="shared" si="215"/>
        <v>4.9697882203445367</v>
      </c>
      <c r="O265" s="21">
        <v>1326.77524438</v>
      </c>
      <c r="P265" s="21">
        <f t="shared" si="216"/>
        <v>5.7197284390903125</v>
      </c>
      <c r="Q265" s="21">
        <v>13468.95521858</v>
      </c>
      <c r="R265" s="21">
        <f t="shared" si="217"/>
        <v>58.064669607659127</v>
      </c>
      <c r="S265" s="43">
        <v>3464.2829063680001</v>
      </c>
      <c r="T265" s="43">
        <f t="shared" si="218"/>
        <v>14.934524550815611</v>
      </c>
      <c r="U265" s="21">
        <v>51.138200580000003</v>
      </c>
      <c r="V265" s="21">
        <f t="shared" si="219"/>
        <v>0.22045679659783968</v>
      </c>
      <c r="W265" s="21">
        <v>1.0791531000000001</v>
      </c>
      <c r="X265" s="21">
        <f t="shared" si="220"/>
        <v>4.6522293073736499E-3</v>
      </c>
      <c r="Y265" s="21">
        <f t="shared" si="221"/>
        <v>760.8610367600038</v>
      </c>
      <c r="Z265" s="21">
        <f t="shared" si="222"/>
        <v>3.2800721362460887</v>
      </c>
      <c r="AA265" s="21">
        <v>22.106891319999999</v>
      </c>
      <c r="AB265" s="21">
        <f t="shared" si="223"/>
        <v>9.530281448835029E-2</v>
      </c>
      <c r="AC265" s="21">
        <v>5.9397454300000003</v>
      </c>
      <c r="AD265" s="21">
        <f t="shared" si="224"/>
        <v>2.5606244162931748E-2</v>
      </c>
      <c r="AE265" s="21">
        <v>51.346856639999999</v>
      </c>
      <c r="AF265" s="21">
        <f t="shared" si="225"/>
        <v>0.22135631292920463</v>
      </c>
      <c r="AG265" s="21">
        <v>39.39584567</v>
      </c>
      <c r="AH265" s="21">
        <f t="shared" si="226"/>
        <v>0.16983550138969464</v>
      </c>
      <c r="AI265" s="21">
        <v>706.56016652000005</v>
      </c>
    </row>
    <row r="266" spans="1:35" ht="15" customHeight="1" x14ac:dyDescent="0.25">
      <c r="A266" s="29" t="s">
        <v>60</v>
      </c>
      <c r="B266" s="21">
        <v>23617.991556720001</v>
      </c>
      <c r="C266" s="21">
        <v>440.25735591</v>
      </c>
      <c r="D266" s="21">
        <f t="shared" si="210"/>
        <v>1.8640761846861365</v>
      </c>
      <c r="E266" s="21">
        <v>3561.404321</v>
      </c>
      <c r="F266" s="21">
        <f t="shared" si="211"/>
        <v>15.079200585058544</v>
      </c>
      <c r="G266" s="21">
        <v>743.21289000000002</v>
      </c>
      <c r="H266" s="21">
        <f t="shared" si="212"/>
        <v>3.1468081789051805</v>
      </c>
      <c r="I266" s="21">
        <v>538.36051062000001</v>
      </c>
      <c r="J266" s="21">
        <f t="shared" si="213"/>
        <v>2.2794508556203668</v>
      </c>
      <c r="K266" s="21">
        <v>1135.9871204000001</v>
      </c>
      <c r="L266" s="21">
        <f t="shared" si="214"/>
        <v>4.8098379477859492</v>
      </c>
      <c r="M266" s="21">
        <v>1165.06691675</v>
      </c>
      <c r="N266" s="21">
        <f t="shared" si="215"/>
        <v>4.9329635585313127</v>
      </c>
      <c r="O266" s="21">
        <v>1319.56911769</v>
      </c>
      <c r="P266" s="21">
        <f t="shared" si="216"/>
        <v>5.5871351910723526</v>
      </c>
      <c r="Q266" s="21">
        <v>13788.60789241</v>
      </c>
      <c r="R266" s="21">
        <f t="shared" si="217"/>
        <v>58.381797026626273</v>
      </c>
      <c r="S266" s="43">
        <v>3600.645515748</v>
      </c>
      <c r="T266" s="43">
        <f t="shared" si="218"/>
        <v>15.245350169174365</v>
      </c>
      <c r="U266" s="21">
        <v>28.248409150000001</v>
      </c>
      <c r="V266" s="21">
        <f t="shared" si="219"/>
        <v>0.11960546722256116</v>
      </c>
      <c r="W266" s="21">
        <v>1.03914869</v>
      </c>
      <c r="X266" s="21">
        <f t="shared" si="220"/>
        <v>4.3998181958208558E-3</v>
      </c>
      <c r="Y266" s="21">
        <f t="shared" si="221"/>
        <v>776.05096068999831</v>
      </c>
      <c r="Z266" s="21">
        <f t="shared" si="222"/>
        <v>3.2858465497638365</v>
      </c>
      <c r="AA266" s="21">
        <v>22.93932465</v>
      </c>
      <c r="AB266" s="21">
        <f t="shared" si="223"/>
        <v>9.7126483405288108E-2</v>
      </c>
      <c r="AC266" s="21">
        <v>5.70619839</v>
      </c>
      <c r="AD266" s="21">
        <f t="shared" si="224"/>
        <v>2.4160387966505228E-2</v>
      </c>
      <c r="AE266" s="21">
        <v>50.894294860000002</v>
      </c>
      <c r="AF266" s="21">
        <f t="shared" si="225"/>
        <v>0.21548951246669026</v>
      </c>
      <c r="AG266" s="21">
        <v>40.64709551</v>
      </c>
      <c r="AH266" s="21">
        <f t="shared" si="226"/>
        <v>0.17210225269317928</v>
      </c>
      <c r="AI266" s="21">
        <v>610.59667779999995</v>
      </c>
    </row>
    <row r="267" spans="1:35" ht="15" customHeight="1" x14ac:dyDescent="0.25">
      <c r="A267" s="29" t="s">
        <v>61</v>
      </c>
      <c r="B267" s="21">
        <v>23979.124360810001</v>
      </c>
      <c r="C267" s="21">
        <v>437.84492763999998</v>
      </c>
      <c r="D267" s="21">
        <f t="shared" si="210"/>
        <v>1.8259421030218543</v>
      </c>
      <c r="E267" s="21">
        <v>3539.3461912500002</v>
      </c>
      <c r="F267" s="21">
        <f t="shared" si="211"/>
        <v>14.760114414496673</v>
      </c>
      <c r="G267" s="21">
        <v>752.83353826999996</v>
      </c>
      <c r="H267" s="21">
        <f t="shared" si="212"/>
        <v>3.1395372363987759</v>
      </c>
      <c r="I267" s="21">
        <v>532.83365170000002</v>
      </c>
      <c r="J267" s="21">
        <f t="shared" si="213"/>
        <v>2.2220730151882879</v>
      </c>
      <c r="K267" s="21">
        <v>1133.75252679</v>
      </c>
      <c r="L267" s="21">
        <f t="shared" si="214"/>
        <v>4.7280814333776719</v>
      </c>
      <c r="M267" s="21">
        <v>1210.8904500799999</v>
      </c>
      <c r="N267" s="21">
        <f t="shared" si="215"/>
        <v>5.0497692570417811</v>
      </c>
      <c r="O267" s="21">
        <v>1426.2884051000001</v>
      </c>
      <c r="P267" s="21">
        <f t="shared" si="216"/>
        <v>5.9480420704228782</v>
      </c>
      <c r="Q267" s="21">
        <v>14006.31972293</v>
      </c>
      <c r="R267" s="21">
        <f t="shared" si="217"/>
        <v>58.410472009649631</v>
      </c>
      <c r="S267" s="43">
        <v>3630.8192389979999</v>
      </c>
      <c r="T267" s="43">
        <f t="shared" si="218"/>
        <v>15.141583922605559</v>
      </c>
      <c r="U267" s="21">
        <v>10.48486535</v>
      </c>
      <c r="V267" s="21">
        <f t="shared" si="219"/>
        <v>4.3724971738900588E-2</v>
      </c>
      <c r="W267" s="21">
        <v>0.99874423000000001</v>
      </c>
      <c r="X267" s="21">
        <f t="shared" si="220"/>
        <v>4.165057134581136E-3</v>
      </c>
      <c r="Y267" s="21">
        <f t="shared" si="221"/>
        <v>800.80814998000665</v>
      </c>
      <c r="Z267" s="21">
        <f t="shared" si="222"/>
        <v>3.3396054748721267</v>
      </c>
      <c r="AA267" s="21">
        <v>22.32135551</v>
      </c>
      <c r="AB267" s="21">
        <f t="shared" si="223"/>
        <v>9.3086616400724978E-2</v>
      </c>
      <c r="AC267" s="21">
        <v>5.89101915</v>
      </c>
      <c r="AD267" s="21">
        <f t="shared" si="224"/>
        <v>2.4567282196625649E-2</v>
      </c>
      <c r="AE267" s="21">
        <v>51.208538439999998</v>
      </c>
      <c r="AF267" s="21">
        <f t="shared" si="225"/>
        <v>0.21355466392130679</v>
      </c>
      <c r="AG267" s="21">
        <v>47.302274390000001</v>
      </c>
      <c r="AH267" s="21">
        <f t="shared" si="226"/>
        <v>0.19726439413821095</v>
      </c>
      <c r="AI267" s="21">
        <v>568.78507174000003</v>
      </c>
    </row>
    <row r="268" spans="1:35" ht="15" customHeight="1" x14ac:dyDescent="0.25">
      <c r="A268" s="29" t="s">
        <v>80</v>
      </c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43"/>
      <c r="T268" s="43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</row>
    <row r="269" spans="1:35" ht="15" customHeight="1" x14ac:dyDescent="0.25">
      <c r="A269" s="29" t="s">
        <v>50</v>
      </c>
      <c r="B269" s="21">
        <v>24362.526631280001</v>
      </c>
      <c r="C269" s="21">
        <v>454.06281114000001</v>
      </c>
      <c r="D269" s="21">
        <f t="shared" ref="D269:D271" si="227">C269/B269*100</f>
        <v>1.8637755353215748</v>
      </c>
      <c r="E269" s="21">
        <v>3506.6775179299998</v>
      </c>
      <c r="F269" s="21">
        <f t="shared" ref="F269:F271" si="228">E269/B269*100</f>
        <v>14.393734980786595</v>
      </c>
      <c r="G269" s="21">
        <v>899.59244351999996</v>
      </c>
      <c r="H269" s="21">
        <f t="shared" ref="H269:H271" si="229">G269/$B269*100</f>
        <v>3.6925252340821579</v>
      </c>
      <c r="I269" s="21">
        <v>520.69988297999998</v>
      </c>
      <c r="J269" s="21">
        <f t="shared" ref="J269:J271" si="230">I269/$B269*100</f>
        <v>2.1372983634277616</v>
      </c>
      <c r="K269" s="21">
        <v>1144.34204138</v>
      </c>
      <c r="L269" s="21">
        <f t="shared" ref="L269:L271" si="231">K269/$B269*100</f>
        <v>4.6971402379535396</v>
      </c>
      <c r="M269" s="21">
        <v>1408.99078779</v>
      </c>
      <c r="N269" s="21">
        <f t="shared" si="215"/>
        <v>5.7834345719336913</v>
      </c>
      <c r="O269" s="21">
        <v>1395.9716287700001</v>
      </c>
      <c r="P269" s="21">
        <f t="shared" ref="P269:P271" si="232">O269/$B269*100</f>
        <v>5.7299952911191792</v>
      </c>
      <c r="Q269" s="21">
        <v>14095.86817066</v>
      </c>
      <c r="R269" s="21">
        <f t="shared" ref="R269:R271" si="233">Q269/$B269*100</f>
        <v>57.858810721880396</v>
      </c>
      <c r="S269" s="43">
        <v>3645.7286582679999</v>
      </c>
      <c r="T269" s="43">
        <f t="shared" ref="T269:T271" si="234">S269/$B269*100</f>
        <v>14.964493270525997</v>
      </c>
      <c r="U269" s="21">
        <v>9.7549017199999994</v>
      </c>
      <c r="V269" s="21">
        <f t="shared" ref="V269:V271" si="235">U269/$B269*100</f>
        <v>4.0040599514318431E-2</v>
      </c>
      <c r="W269" s="21">
        <v>0.95793572999999999</v>
      </c>
      <c r="X269" s="21">
        <f t="shared" ref="X269:X271" si="236">W269/$B269*100</f>
        <v>3.9320048552356178E-3</v>
      </c>
      <c r="Y269" s="21">
        <f t="shared" ref="Y269:Y271" si="237">((B269-C269-E269-G269-I269-K269-M269-W269-O269-Q269-U269-AA269-AC269-AE269-AG269))</f>
        <v>810.10353701000338</v>
      </c>
      <c r="Z269" s="21">
        <f t="shared" ref="Z269:Z271" si="238">Y269/$B269*100</f>
        <v>3.3252032897518919</v>
      </c>
      <c r="AA269" s="21">
        <v>29.311227720000002</v>
      </c>
      <c r="AB269" s="21">
        <f t="shared" ref="AB269:AB271" si="239">AA269/$B269*100</f>
        <v>0.12031275804688571</v>
      </c>
      <c r="AC269" s="21">
        <v>3.24873491</v>
      </c>
      <c r="AD269" s="21">
        <f t="shared" ref="AD269:AD271" si="240">AC269/$B269*100</f>
        <v>1.3334967095854591E-2</v>
      </c>
      <c r="AE269" s="21">
        <v>46.615348939999997</v>
      </c>
      <c r="AF269" s="21">
        <f t="shared" ref="AF269:AF271" si="241">AE269/$B269*100</f>
        <v>0.19134037140527421</v>
      </c>
      <c r="AG269" s="21">
        <v>36.329661080000001</v>
      </c>
      <c r="AH269" s="21">
        <f t="shared" ref="AH269:AH271" si="242">AG269/$B269*100</f>
        <v>0.14912107282565237</v>
      </c>
      <c r="AI269" s="21">
        <v>962.53158026999995</v>
      </c>
    </row>
    <row r="270" spans="1:35" ht="15" customHeight="1" x14ac:dyDescent="0.25">
      <c r="A270" s="29" t="s">
        <v>51</v>
      </c>
      <c r="B270" s="21">
        <v>24629.126192600001</v>
      </c>
      <c r="C270" s="21">
        <v>469.15723987000001</v>
      </c>
      <c r="D270" s="21">
        <f t="shared" si="227"/>
        <v>1.9048878803136819</v>
      </c>
      <c r="E270" s="21">
        <v>3557.5033125999998</v>
      </c>
      <c r="F270" s="21">
        <f t="shared" si="228"/>
        <v>14.444293657762319</v>
      </c>
      <c r="G270" s="21">
        <v>869.8115861</v>
      </c>
      <c r="H270" s="21">
        <f t="shared" si="229"/>
        <v>3.5316380260430886</v>
      </c>
      <c r="I270" s="21">
        <v>513.16401392</v>
      </c>
      <c r="J270" s="21">
        <f t="shared" si="230"/>
        <v>2.083565652744042</v>
      </c>
      <c r="K270" s="21">
        <v>1118.32235808</v>
      </c>
      <c r="L270" s="21">
        <f t="shared" si="231"/>
        <v>4.540649754825683</v>
      </c>
      <c r="M270" s="21">
        <v>1413.49711473</v>
      </c>
      <c r="N270" s="21">
        <f t="shared" si="215"/>
        <v>5.7391281512646417</v>
      </c>
      <c r="O270" s="21">
        <v>1468.0809415199999</v>
      </c>
      <c r="P270" s="21">
        <f t="shared" si="232"/>
        <v>5.9607512261685338</v>
      </c>
      <c r="Q270" s="21">
        <v>14270.63292935</v>
      </c>
      <c r="R270" s="21">
        <f t="shared" si="233"/>
        <v>57.942100006932904</v>
      </c>
      <c r="S270" s="43">
        <v>3692.3288991579998</v>
      </c>
      <c r="T270" s="43">
        <f t="shared" si="234"/>
        <v>14.991717003209748</v>
      </c>
      <c r="U270" s="21">
        <v>9.5166273799999992</v>
      </c>
      <c r="V270" s="21">
        <f t="shared" si="235"/>
        <v>3.8639728042236997E-2</v>
      </c>
      <c r="W270" s="21">
        <v>0.91671913999999999</v>
      </c>
      <c r="X270" s="21">
        <f t="shared" si="236"/>
        <v>3.7220936416145971E-3</v>
      </c>
      <c r="Y270" s="21">
        <f t="shared" si="237"/>
        <v>822.35168640000188</v>
      </c>
      <c r="Z270" s="21">
        <f t="shared" si="238"/>
        <v>3.3389397576235704</v>
      </c>
      <c r="AA270" s="21">
        <v>25.282118260000001</v>
      </c>
      <c r="AB270" s="21">
        <f t="shared" si="239"/>
        <v>0.10265130018131215</v>
      </c>
      <c r="AC270" s="21">
        <v>3.0570781299999998</v>
      </c>
      <c r="AD270" s="21">
        <f t="shared" si="240"/>
        <v>1.2412450633017266E-2</v>
      </c>
      <c r="AE270" s="21">
        <v>47.70485532</v>
      </c>
      <c r="AF270" s="21">
        <f t="shared" si="241"/>
        <v>0.19369284540160936</v>
      </c>
      <c r="AG270" s="21">
        <v>40.127611799999997</v>
      </c>
      <c r="AH270" s="21">
        <f t="shared" si="242"/>
        <v>0.1629274684217446</v>
      </c>
      <c r="AI270" s="21">
        <v>704.37689886999999</v>
      </c>
    </row>
    <row r="271" spans="1:35" ht="15" customHeight="1" x14ac:dyDescent="0.25">
      <c r="A271" s="44" t="s">
        <v>52</v>
      </c>
      <c r="B271" s="45">
        <v>25442.69492468</v>
      </c>
      <c r="C271" s="45">
        <v>470.75581861000001</v>
      </c>
      <c r="D271" s="21">
        <f t="shared" si="227"/>
        <v>1.8502592591060629</v>
      </c>
      <c r="E271" s="45">
        <v>3724.1145652099999</v>
      </c>
      <c r="F271" s="21">
        <f t="shared" si="228"/>
        <v>14.637264551710375</v>
      </c>
      <c r="G271" s="45">
        <v>788.09054345000004</v>
      </c>
      <c r="H271" s="21">
        <f t="shared" si="229"/>
        <v>3.0975120590921916</v>
      </c>
      <c r="I271" s="45">
        <v>495.94789975999998</v>
      </c>
      <c r="J271" s="21">
        <f t="shared" si="230"/>
        <v>1.9492742464121562</v>
      </c>
      <c r="K271" s="45">
        <v>1134.1448663900001</v>
      </c>
      <c r="L271" s="21">
        <f t="shared" si="231"/>
        <v>4.457644403423056</v>
      </c>
      <c r="M271" s="45">
        <v>1937.33315223</v>
      </c>
      <c r="N271" s="21">
        <f t="shared" si="215"/>
        <v>7.6144966481154572</v>
      </c>
      <c r="O271" s="45">
        <v>1472.14681971</v>
      </c>
      <c r="P271" s="21">
        <f t="shared" si="232"/>
        <v>5.7861277041135439</v>
      </c>
      <c r="Q271" s="45">
        <v>14469.814294899999</v>
      </c>
      <c r="R271" s="21">
        <f t="shared" si="233"/>
        <v>56.872176228721536</v>
      </c>
      <c r="S271" s="21">
        <v>3761.3120723679999</v>
      </c>
      <c r="T271" s="43">
        <f t="shared" si="234"/>
        <v>14.78346568043561</v>
      </c>
      <c r="U271" s="45">
        <v>9.1823221400000001</v>
      </c>
      <c r="V271" s="21">
        <f t="shared" si="235"/>
        <v>3.6090210440297879E-2</v>
      </c>
      <c r="W271" s="45">
        <v>0.87509039</v>
      </c>
      <c r="X271" s="21">
        <f t="shared" si="236"/>
        <v>3.4394563649432523E-3</v>
      </c>
      <c r="Y271" s="21">
        <f t="shared" si="237"/>
        <v>828.48247914000137</v>
      </c>
      <c r="Z271" s="21">
        <f t="shared" si="238"/>
        <v>3.2562685737207588</v>
      </c>
      <c r="AA271" s="45">
        <v>31.275232760000002</v>
      </c>
      <c r="AB271" s="21">
        <f t="shared" si="239"/>
        <v>0.12292421401343891</v>
      </c>
      <c r="AC271" s="45">
        <v>0.85787996</v>
      </c>
      <c r="AD271" s="21">
        <f t="shared" si="240"/>
        <v>3.3718124693144697E-3</v>
      </c>
      <c r="AE271" s="45">
        <v>41.343997309999999</v>
      </c>
      <c r="AF271" s="21">
        <f t="shared" si="241"/>
        <v>0.16249849881230691</v>
      </c>
      <c r="AG271" s="45">
        <v>38.329962719999997</v>
      </c>
      <c r="AH271" s="21">
        <f t="shared" si="242"/>
        <v>0.15065213348456674</v>
      </c>
      <c r="AI271" s="45">
        <v>620.27643058000001</v>
      </c>
    </row>
    <row r="272" spans="1:35" s="46" customFormat="1" ht="18" customHeight="1" x14ac:dyDescent="0.25">
      <c r="A272" s="57" t="s">
        <v>81</v>
      </c>
      <c r="B272" s="57"/>
      <c r="C272" s="57"/>
      <c r="D272" s="57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57"/>
      <c r="AG272" s="57"/>
      <c r="AH272" s="57"/>
      <c r="AI272" s="58"/>
    </row>
    <row r="273" spans="1:35" s="46" customFormat="1" ht="18" customHeight="1" x14ac:dyDescent="0.25">
      <c r="A273" s="59" t="s">
        <v>82</v>
      </c>
      <c r="B273" s="59"/>
      <c r="C273" s="59"/>
      <c r="D273" s="59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</row>
    <row r="274" spans="1:35" s="46" customFormat="1" ht="18" customHeight="1" x14ac:dyDescent="0.25">
      <c r="A274" s="60" t="s">
        <v>83</v>
      </c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</row>
    <row r="275" spans="1:35" x14ac:dyDescent="0.25">
      <c r="D275" s="3"/>
      <c r="E275" s="47"/>
      <c r="F275" s="47"/>
      <c r="G275" s="47"/>
      <c r="N275" s="48"/>
      <c r="O275" s="47"/>
      <c r="Z275" s="3"/>
      <c r="AD275" s="23"/>
      <c r="AE275" s="2"/>
    </row>
    <row r="276" spans="1:35" ht="17.25" customHeight="1" x14ac:dyDescent="0.25">
      <c r="B276" s="49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50"/>
      <c r="O276" s="3"/>
      <c r="P276" s="3"/>
      <c r="Q276" s="3"/>
      <c r="R276" s="3"/>
      <c r="S276" s="3"/>
      <c r="T276" s="3"/>
      <c r="U276" s="3"/>
      <c r="V276" s="3"/>
      <c r="X276" s="3"/>
      <c r="Y276" s="3"/>
      <c r="Z276" s="3"/>
      <c r="AA276" s="23"/>
      <c r="AB276" s="23"/>
      <c r="AC276" s="23"/>
      <c r="AD276" s="23"/>
    </row>
    <row r="277" spans="1:35" x14ac:dyDescent="0.25">
      <c r="D277" s="47"/>
      <c r="E277" s="3"/>
      <c r="G277" s="10"/>
      <c r="H277" s="10"/>
      <c r="N277" s="48"/>
      <c r="O277" s="47"/>
      <c r="S277" s="51"/>
      <c r="V277" s="52"/>
      <c r="Y277" s="47"/>
      <c r="Z277" s="3"/>
    </row>
    <row r="278" spans="1:35" x14ac:dyDescent="0.25">
      <c r="D278" s="47"/>
      <c r="N278" s="48"/>
      <c r="O278" s="47"/>
      <c r="V278" s="52"/>
      <c r="Y278" s="47"/>
    </row>
    <row r="279" spans="1:35" x14ac:dyDescent="0.25">
      <c r="N279" s="48"/>
      <c r="O279" s="47"/>
      <c r="Z279" s="3"/>
    </row>
    <row r="280" spans="1:35" x14ac:dyDescent="0.25">
      <c r="N280" s="48"/>
      <c r="O280" s="47"/>
      <c r="V280" s="52"/>
      <c r="Z280" s="3"/>
    </row>
    <row r="281" spans="1:35" x14ac:dyDescent="0.25">
      <c r="N281" s="48"/>
      <c r="O281" s="47"/>
      <c r="R281" s="52"/>
      <c r="S281" s="52"/>
      <c r="T281" s="52"/>
      <c r="V281" s="52"/>
      <c r="Z281" s="3"/>
    </row>
    <row r="282" spans="1:35" x14ac:dyDescent="0.25">
      <c r="V282" s="53"/>
      <c r="Z282" s="3"/>
    </row>
    <row r="283" spans="1:35" x14ac:dyDescent="0.25">
      <c r="V283" s="53"/>
      <c r="Z283" s="3"/>
    </row>
    <row r="284" spans="1:35" x14ac:dyDescent="0.25">
      <c r="V284" s="52"/>
      <c r="Z284" s="3"/>
    </row>
    <row r="285" spans="1:35" x14ac:dyDescent="0.25">
      <c r="V285" s="52"/>
    </row>
    <row r="286" spans="1:35" x14ac:dyDescent="0.25">
      <c r="V286" s="52"/>
    </row>
  </sheetData>
  <mergeCells count="78">
    <mergeCell ref="A2:AI2"/>
    <mergeCell ref="A3:AI3"/>
    <mergeCell ref="A5:AI5"/>
    <mergeCell ref="A6:A10"/>
    <mergeCell ref="B6:AH6"/>
    <mergeCell ref="AI6:AI10"/>
    <mergeCell ref="B7:B10"/>
    <mergeCell ref="C7:D8"/>
    <mergeCell ref="E7:F8"/>
    <mergeCell ref="G7:H8"/>
    <mergeCell ref="AE7:AF8"/>
    <mergeCell ref="I7:J8"/>
    <mergeCell ref="K7:L8"/>
    <mergeCell ref="M7:N8"/>
    <mergeCell ref="O7:P8"/>
    <mergeCell ref="Q7:R8"/>
    <mergeCell ref="S7:T8"/>
    <mergeCell ref="Q9:Q10"/>
    <mergeCell ref="AG7:AH8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U7:V8"/>
    <mergeCell ref="W7:X8"/>
    <mergeCell ref="Y7:Z8"/>
    <mergeCell ref="AA7:AB8"/>
    <mergeCell ref="AC7:AD8"/>
    <mergeCell ref="L9:L10"/>
    <mergeCell ref="M9:M10"/>
    <mergeCell ref="N9:N10"/>
    <mergeCell ref="O9:O10"/>
    <mergeCell ref="P9:P10"/>
    <mergeCell ref="AC9:AC10"/>
    <mergeCell ref="R9:R10"/>
    <mergeCell ref="S9:S10"/>
    <mergeCell ref="T9:T10"/>
    <mergeCell ref="U9:U10"/>
    <mergeCell ref="V9:V10"/>
    <mergeCell ref="W9:W10"/>
    <mergeCell ref="X9:X10"/>
    <mergeCell ref="Y9:Y10"/>
    <mergeCell ref="Z9:Z10"/>
    <mergeCell ref="AA9:AA10"/>
    <mergeCell ref="AB9:AB10"/>
    <mergeCell ref="AD9:AD10"/>
    <mergeCell ref="AE9:AE10"/>
    <mergeCell ref="AF9:AF10"/>
    <mergeCell ref="AG9:AG10"/>
    <mergeCell ref="AH9:AH10"/>
    <mergeCell ref="A274:AI274"/>
    <mergeCell ref="S12:T13"/>
    <mergeCell ref="U12:V13"/>
    <mergeCell ref="W12:X13"/>
    <mergeCell ref="Y12:Z13"/>
    <mergeCell ref="AA12:AB13"/>
    <mergeCell ref="AC12:AD13"/>
    <mergeCell ref="G12:H13"/>
    <mergeCell ref="I12:J13"/>
    <mergeCell ref="K12:L13"/>
    <mergeCell ref="M12:N13"/>
    <mergeCell ref="O12:P13"/>
    <mergeCell ref="Q12:R13"/>
    <mergeCell ref="A11:A14"/>
    <mergeCell ref="B11:AH11"/>
    <mergeCell ref="B12:B14"/>
    <mergeCell ref="AE12:AF13"/>
    <mergeCell ref="AG12:AH13"/>
    <mergeCell ref="AI12:AI14"/>
    <mergeCell ref="A272:AI272"/>
    <mergeCell ref="A273:AI273"/>
    <mergeCell ref="C12:D13"/>
    <mergeCell ref="E12:F13"/>
  </mergeCells>
  <pageMargins left="0.17" right="0.17" top="0.17" bottom="0.17" header="0.17" footer="0.17"/>
  <pageSetup scale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4C0FF-9C7D-4F4E-882D-9BE59BAA7E69}">
  <sheetPr>
    <tabColor rgb="FF92D050"/>
  </sheetPr>
  <dimension ref="A1:CF83"/>
  <sheetViews>
    <sheetView showGridLines="0" view="pageBreakPreview" zoomScale="70" zoomScaleSheetLayoutView="70" workbookViewId="0">
      <pane xSplit="1" ySplit="12" topLeftCell="B50" activePane="bottomRight" state="frozen"/>
      <selection activeCell="Q251" sqref="Q251"/>
      <selection pane="topRight" activeCell="Q251" sqref="Q251"/>
      <selection pane="bottomLeft" activeCell="Q251" sqref="Q251"/>
      <selection pane="bottomRight" activeCell="L75" sqref="L75"/>
    </sheetView>
  </sheetViews>
  <sheetFormatPr defaultColWidth="8.88671875" defaultRowHeight="15.6" x14ac:dyDescent="0.25"/>
  <cols>
    <col min="1" max="1" width="7.6640625" style="84" customWidth="1"/>
    <col min="2" max="2" width="12.109375" style="84" customWidth="1"/>
    <col min="3" max="3" width="17.88671875" style="84" customWidth="1"/>
    <col min="4" max="4" width="11.109375" style="84" customWidth="1"/>
    <col min="5" max="5" width="13.109375" style="85" bestFit="1" customWidth="1"/>
    <col min="6" max="6" width="14.33203125" style="85" customWidth="1"/>
    <col min="7" max="7" width="9.5546875" style="85" customWidth="1"/>
    <col min="8" max="8" width="14.33203125" style="85" customWidth="1"/>
    <col min="9" max="9" width="9.5546875" style="85" customWidth="1"/>
    <col min="10" max="10" width="14.33203125" style="85" customWidth="1"/>
    <col min="11" max="11" width="9.5546875" style="85" customWidth="1"/>
    <col min="12" max="12" width="14.33203125" style="85" customWidth="1"/>
    <col min="13" max="13" width="9.5546875" style="85" customWidth="1"/>
    <col min="14" max="14" width="14.33203125" style="85" customWidth="1"/>
    <col min="15" max="15" width="9.5546875" style="85" customWidth="1"/>
    <col min="16" max="16" width="14.33203125" style="85" customWidth="1"/>
    <col min="17" max="17" width="9.5546875" style="85" customWidth="1"/>
    <col min="18" max="18" width="14.33203125" style="85" customWidth="1"/>
    <col min="19" max="20" width="16.6640625" style="85" customWidth="1"/>
    <col min="21" max="21" width="9.5546875" style="86" customWidth="1"/>
    <col min="22" max="22" width="14.33203125" style="85" customWidth="1"/>
    <col min="23" max="23" width="9.5546875" style="85" customWidth="1"/>
    <col min="24" max="24" width="14.33203125" style="85" customWidth="1"/>
    <col min="25" max="25" width="9.5546875" style="4" customWidth="1"/>
    <col min="26" max="26" width="14.33203125" style="4" customWidth="1"/>
    <col min="27" max="27" width="9.5546875" style="4" customWidth="1"/>
    <col min="28" max="28" width="14.33203125" style="4" customWidth="1"/>
    <col min="29" max="29" width="9.5546875" style="4" customWidth="1"/>
    <col min="30" max="30" width="14.33203125" style="4" customWidth="1"/>
    <col min="31" max="31" width="9.5546875" style="4" customWidth="1"/>
    <col min="32" max="32" width="14.33203125" style="4" customWidth="1"/>
    <col min="33" max="33" width="16.33203125" style="85" customWidth="1"/>
    <col min="34" max="77" width="8.88671875" style="85"/>
    <col min="78" max="78" width="0" style="85" hidden="1" customWidth="1"/>
    <col min="79" max="16384" width="8.88671875" style="85"/>
  </cols>
  <sheetData>
    <row r="1" spans="1:80" ht="10.5" customHeight="1" x14ac:dyDescent="0.25"/>
    <row r="2" spans="1:80" ht="38.25" customHeight="1" x14ac:dyDescent="0.25">
      <c r="A2" s="87" t="s">
        <v>84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</row>
    <row r="3" spans="1:80" ht="38.25" customHeight="1" x14ac:dyDescent="0.25">
      <c r="A3" s="88" t="s">
        <v>85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</row>
    <row r="4" spans="1:80" ht="15.75" customHeight="1" x14ac:dyDescent="0.25">
      <c r="A4" s="89"/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</row>
    <row r="5" spans="1:80" ht="15.75" customHeight="1" x14ac:dyDescent="0.25">
      <c r="A5" s="90" t="s">
        <v>2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</row>
    <row r="6" spans="1:80" s="93" customFormat="1" ht="22.5" customHeight="1" x14ac:dyDescent="0.25">
      <c r="A6" s="91" t="s">
        <v>3</v>
      </c>
      <c r="B6" s="92" t="s">
        <v>86</v>
      </c>
      <c r="C6" s="92"/>
      <c r="D6" s="92"/>
      <c r="E6" s="92" t="s">
        <v>4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1" t="s">
        <v>5</v>
      </c>
      <c r="CA6" s="94"/>
      <c r="CB6" s="95"/>
    </row>
    <row r="7" spans="1:80" s="93" customFormat="1" ht="13.95" customHeight="1" x14ac:dyDescent="0.25">
      <c r="A7" s="91"/>
      <c r="B7" s="92"/>
      <c r="C7" s="92"/>
      <c r="D7" s="92"/>
      <c r="E7" s="96" t="s">
        <v>8</v>
      </c>
      <c r="F7" s="97"/>
      <c r="G7" s="96" t="s">
        <v>9</v>
      </c>
      <c r="H7" s="97"/>
      <c r="I7" s="96" t="s">
        <v>10</v>
      </c>
      <c r="J7" s="97"/>
      <c r="K7" s="96" t="s">
        <v>11</v>
      </c>
      <c r="L7" s="97"/>
      <c r="M7" s="96" t="s">
        <v>12</v>
      </c>
      <c r="N7" s="97"/>
      <c r="O7" s="96" t="s">
        <v>13</v>
      </c>
      <c r="P7" s="97"/>
      <c r="Q7" s="98" t="s">
        <v>14</v>
      </c>
      <c r="R7" s="99"/>
      <c r="S7" s="96" t="s">
        <v>16</v>
      </c>
      <c r="T7" s="97"/>
      <c r="U7" s="96" t="s">
        <v>17</v>
      </c>
      <c r="V7" s="97"/>
      <c r="W7" s="98" t="s">
        <v>18</v>
      </c>
      <c r="X7" s="99"/>
      <c r="Y7" s="100" t="s">
        <v>19</v>
      </c>
      <c r="Z7" s="101"/>
      <c r="AA7" s="102" t="s">
        <v>20</v>
      </c>
      <c r="AB7" s="103"/>
      <c r="AC7" s="100" t="s">
        <v>21</v>
      </c>
      <c r="AD7" s="101"/>
      <c r="AE7" s="100" t="s">
        <v>22</v>
      </c>
      <c r="AF7" s="101"/>
      <c r="AG7" s="91"/>
      <c r="CB7" s="104"/>
    </row>
    <row r="8" spans="1:80" s="93" customFormat="1" ht="59.25" customHeight="1" x14ac:dyDescent="0.25">
      <c r="A8" s="91"/>
      <c r="B8" s="92"/>
      <c r="C8" s="92"/>
      <c r="D8" s="92"/>
      <c r="E8" s="105"/>
      <c r="F8" s="106"/>
      <c r="G8" s="105"/>
      <c r="H8" s="106"/>
      <c r="I8" s="105"/>
      <c r="J8" s="106"/>
      <c r="K8" s="105"/>
      <c r="L8" s="106"/>
      <c r="M8" s="105"/>
      <c r="N8" s="106"/>
      <c r="O8" s="105"/>
      <c r="P8" s="106"/>
      <c r="Q8" s="107"/>
      <c r="R8" s="108"/>
      <c r="S8" s="105"/>
      <c r="T8" s="106"/>
      <c r="U8" s="105"/>
      <c r="V8" s="106"/>
      <c r="W8" s="107"/>
      <c r="X8" s="108"/>
      <c r="Y8" s="109"/>
      <c r="Z8" s="110"/>
      <c r="AA8" s="111"/>
      <c r="AB8" s="112"/>
      <c r="AC8" s="109"/>
      <c r="AD8" s="110"/>
      <c r="AE8" s="109"/>
      <c r="AF8" s="110"/>
      <c r="AG8" s="91"/>
      <c r="CB8" s="104"/>
    </row>
    <row r="9" spans="1:80" s="114" customFormat="1" ht="54.75" customHeight="1" x14ac:dyDescent="0.25">
      <c r="A9" s="91"/>
      <c r="B9" s="113" t="s">
        <v>6</v>
      </c>
      <c r="C9" s="113" t="s">
        <v>87</v>
      </c>
      <c r="D9" s="113" t="s">
        <v>88</v>
      </c>
      <c r="E9" s="113" t="s">
        <v>89</v>
      </c>
      <c r="F9" s="113" t="s">
        <v>90</v>
      </c>
      <c r="G9" s="113" t="s">
        <v>89</v>
      </c>
      <c r="H9" s="113" t="s">
        <v>90</v>
      </c>
      <c r="I9" s="113" t="s">
        <v>89</v>
      </c>
      <c r="J9" s="113" t="s">
        <v>90</v>
      </c>
      <c r="K9" s="113" t="s">
        <v>89</v>
      </c>
      <c r="L9" s="113" t="s">
        <v>90</v>
      </c>
      <c r="M9" s="113" t="s">
        <v>89</v>
      </c>
      <c r="N9" s="113" t="s">
        <v>90</v>
      </c>
      <c r="O9" s="113" t="s">
        <v>89</v>
      </c>
      <c r="P9" s="113" t="s">
        <v>90</v>
      </c>
      <c r="Q9" s="113" t="s">
        <v>89</v>
      </c>
      <c r="R9" s="113" t="s">
        <v>90</v>
      </c>
      <c r="S9" s="113" t="s">
        <v>89</v>
      </c>
      <c r="T9" s="113" t="s">
        <v>90</v>
      </c>
      <c r="U9" s="113" t="s">
        <v>89</v>
      </c>
      <c r="V9" s="113" t="s">
        <v>90</v>
      </c>
      <c r="W9" s="113" t="s">
        <v>89</v>
      </c>
      <c r="X9" s="113" t="s">
        <v>90</v>
      </c>
      <c r="Y9" s="113" t="s">
        <v>89</v>
      </c>
      <c r="Z9" s="113" t="s">
        <v>90</v>
      </c>
      <c r="AA9" s="113" t="s">
        <v>89</v>
      </c>
      <c r="AB9" s="113" t="s">
        <v>90</v>
      </c>
      <c r="AC9" s="113" t="s">
        <v>89</v>
      </c>
      <c r="AD9" s="113" t="s">
        <v>90</v>
      </c>
      <c r="AE9" s="113" t="s">
        <v>89</v>
      </c>
      <c r="AF9" s="113" t="s">
        <v>90</v>
      </c>
      <c r="AG9" s="91"/>
      <c r="CB9" s="115"/>
    </row>
    <row r="10" spans="1:80" s="119" customFormat="1" ht="16.5" customHeight="1" x14ac:dyDescent="0.25">
      <c r="A10" s="116" t="s">
        <v>26</v>
      </c>
      <c r="B10" s="117" t="s">
        <v>91</v>
      </c>
      <c r="C10" s="117"/>
      <c r="D10" s="117"/>
      <c r="E10" s="117" t="s">
        <v>27</v>
      </c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8" t="s">
        <v>44</v>
      </c>
      <c r="CB10" s="120"/>
    </row>
    <row r="11" spans="1:80" s="119" customFormat="1" ht="42.75" customHeight="1" x14ac:dyDescent="0.25">
      <c r="A11" s="116"/>
      <c r="B11" s="117"/>
      <c r="C11" s="117"/>
      <c r="D11" s="117"/>
      <c r="E11" s="117" t="s">
        <v>30</v>
      </c>
      <c r="F11" s="117"/>
      <c r="G11" s="117" t="s">
        <v>31</v>
      </c>
      <c r="H11" s="117"/>
      <c r="I11" s="117" t="s">
        <v>32</v>
      </c>
      <c r="J11" s="117"/>
      <c r="K11" s="117" t="s">
        <v>33</v>
      </c>
      <c r="L11" s="117"/>
      <c r="M11" s="117" t="s">
        <v>34</v>
      </c>
      <c r="N11" s="117"/>
      <c r="O11" s="117" t="s">
        <v>35</v>
      </c>
      <c r="P11" s="117"/>
      <c r="Q11" s="117" t="s">
        <v>92</v>
      </c>
      <c r="R11" s="117"/>
      <c r="S11" s="117" t="s">
        <v>38</v>
      </c>
      <c r="T11" s="117"/>
      <c r="U11" s="117" t="s">
        <v>39</v>
      </c>
      <c r="V11" s="117"/>
      <c r="W11" s="117" t="s">
        <v>40</v>
      </c>
      <c r="X11" s="117"/>
      <c r="Y11" s="117" t="s">
        <v>93</v>
      </c>
      <c r="Z11" s="117"/>
      <c r="AA11" s="117" t="s">
        <v>42</v>
      </c>
      <c r="AB11" s="117"/>
      <c r="AC11" s="117" t="s">
        <v>43</v>
      </c>
      <c r="AD11" s="117"/>
      <c r="AE11" s="117" t="s">
        <v>22</v>
      </c>
      <c r="AF11" s="117"/>
      <c r="AG11" s="121"/>
      <c r="CB11" s="120"/>
    </row>
    <row r="12" spans="1:80" s="119" customFormat="1" ht="35.25" customHeight="1" x14ac:dyDescent="0.25">
      <c r="A12" s="116"/>
      <c r="B12" s="122" t="s">
        <v>28</v>
      </c>
      <c r="C12" s="122" t="s">
        <v>94</v>
      </c>
      <c r="D12" s="123" t="s">
        <v>46</v>
      </c>
      <c r="E12" s="122" t="s">
        <v>89</v>
      </c>
      <c r="F12" s="122" t="s">
        <v>95</v>
      </c>
      <c r="G12" s="122" t="s">
        <v>89</v>
      </c>
      <c r="H12" s="122" t="s">
        <v>95</v>
      </c>
      <c r="I12" s="122" t="s">
        <v>89</v>
      </c>
      <c r="J12" s="122" t="s">
        <v>95</v>
      </c>
      <c r="K12" s="122" t="s">
        <v>89</v>
      </c>
      <c r="L12" s="122" t="s">
        <v>95</v>
      </c>
      <c r="M12" s="122" t="s">
        <v>89</v>
      </c>
      <c r="N12" s="122" t="s">
        <v>95</v>
      </c>
      <c r="O12" s="122" t="s">
        <v>89</v>
      </c>
      <c r="P12" s="122" t="s">
        <v>95</v>
      </c>
      <c r="Q12" s="122" t="s">
        <v>89</v>
      </c>
      <c r="R12" s="122" t="s">
        <v>95</v>
      </c>
      <c r="S12" s="122" t="s">
        <v>89</v>
      </c>
      <c r="T12" s="122" t="s">
        <v>95</v>
      </c>
      <c r="U12" s="122" t="s">
        <v>89</v>
      </c>
      <c r="V12" s="122" t="s">
        <v>95</v>
      </c>
      <c r="W12" s="122" t="s">
        <v>89</v>
      </c>
      <c r="X12" s="122" t="s">
        <v>95</v>
      </c>
      <c r="Y12" s="122" t="s">
        <v>89</v>
      </c>
      <c r="Z12" s="122" t="s">
        <v>95</v>
      </c>
      <c r="AA12" s="122" t="s">
        <v>89</v>
      </c>
      <c r="AB12" s="122" t="s">
        <v>95</v>
      </c>
      <c r="AC12" s="122" t="s">
        <v>89</v>
      </c>
      <c r="AD12" s="122" t="s">
        <v>95</v>
      </c>
      <c r="AE12" s="122" t="s">
        <v>89</v>
      </c>
      <c r="AF12" s="122" t="s">
        <v>95</v>
      </c>
      <c r="AG12" s="121"/>
      <c r="CB12" s="120"/>
    </row>
    <row r="13" spans="1:80" ht="15" customHeight="1" x14ac:dyDescent="0.25">
      <c r="A13" s="124" t="s">
        <v>75</v>
      </c>
      <c r="B13" s="124"/>
      <c r="C13" s="124"/>
      <c r="D13" s="124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</row>
    <row r="14" spans="1:80" ht="15" customHeight="1" x14ac:dyDescent="0.25">
      <c r="A14" s="124" t="s">
        <v>50</v>
      </c>
      <c r="B14" s="125">
        <v>15513.610178430001</v>
      </c>
      <c r="C14" s="125">
        <v>1306.8619599600004</v>
      </c>
      <c r="D14" s="126">
        <f>C14/B14*100</f>
        <v>8.4239705969732999</v>
      </c>
      <c r="E14" s="127">
        <v>2414.2416905399996</v>
      </c>
      <c r="F14" s="127">
        <v>12.63777533</v>
      </c>
      <c r="G14" s="127">
        <v>622.88632794000011</v>
      </c>
      <c r="H14" s="127">
        <v>6.5194999999999999</v>
      </c>
      <c r="I14" s="127">
        <v>482.03446362000005</v>
      </c>
      <c r="J14" s="127">
        <v>58.257205120000002</v>
      </c>
      <c r="K14" s="127">
        <v>466.63706786</v>
      </c>
      <c r="L14" s="127">
        <v>0</v>
      </c>
      <c r="M14" s="127">
        <v>1135.2953768500001</v>
      </c>
      <c r="N14" s="127">
        <v>3.2130904600000001</v>
      </c>
      <c r="O14" s="127">
        <v>1177.10613827</v>
      </c>
      <c r="P14" s="127">
        <v>0.41225699999999998</v>
      </c>
      <c r="Q14" s="127">
        <v>6768.8706715900007</v>
      </c>
      <c r="R14" s="127">
        <v>236.12697776000002</v>
      </c>
      <c r="S14" s="127">
        <v>38.46201275</v>
      </c>
      <c r="T14" s="127">
        <v>0.1963</v>
      </c>
      <c r="U14" s="127">
        <v>1.09727281</v>
      </c>
      <c r="V14" s="127">
        <v>0</v>
      </c>
      <c r="W14" s="127">
        <v>648.99629937000088</v>
      </c>
      <c r="X14" s="127">
        <v>19.574868360000018</v>
      </c>
      <c r="Y14" s="127">
        <v>22.149604879999998</v>
      </c>
      <c r="Z14" s="127">
        <v>0</v>
      </c>
      <c r="AA14" s="127">
        <v>1.42187361</v>
      </c>
      <c r="AB14" s="127">
        <v>0</v>
      </c>
      <c r="AC14" s="127">
        <v>32.041896259999994</v>
      </c>
      <c r="AD14" s="127">
        <v>0</v>
      </c>
      <c r="AE14" s="127">
        <v>58.569548089999998</v>
      </c>
      <c r="AF14" s="127">
        <v>0</v>
      </c>
      <c r="AG14" s="127">
        <v>340.32591054999995</v>
      </c>
    </row>
    <row r="15" spans="1:80" ht="15" customHeight="1" x14ac:dyDescent="0.25">
      <c r="A15" s="124" t="s">
        <v>51</v>
      </c>
      <c r="B15" s="125">
        <v>15696.35984816</v>
      </c>
      <c r="C15" s="125">
        <v>1297.7919746600001</v>
      </c>
      <c r="D15" s="126">
        <f>C15/B15*100</f>
        <v>8.2681079384920775</v>
      </c>
      <c r="E15" s="127">
        <v>2509.13364744</v>
      </c>
      <c r="F15" s="127">
        <v>12.63777533</v>
      </c>
      <c r="G15" s="127">
        <v>619.72263909000003</v>
      </c>
      <c r="H15" s="127">
        <v>6.5194999999999999</v>
      </c>
      <c r="I15" s="127">
        <v>476.02636567000002</v>
      </c>
      <c r="J15" s="127">
        <v>58.257205120000002</v>
      </c>
      <c r="K15" s="127">
        <v>464.59826734000001</v>
      </c>
      <c r="L15" s="127">
        <v>0</v>
      </c>
      <c r="M15" s="127">
        <v>1132.1902052399998</v>
      </c>
      <c r="N15" s="127">
        <v>3.2130904600000001</v>
      </c>
      <c r="O15" s="127">
        <v>1172.1177573999998</v>
      </c>
      <c r="P15" s="127">
        <v>0.41225699999999998</v>
      </c>
      <c r="Q15" s="127">
        <v>6863.4079564399999</v>
      </c>
      <c r="R15" s="127">
        <v>236.12697776000002</v>
      </c>
      <c r="S15" s="127">
        <v>29.683142759999999</v>
      </c>
      <c r="T15" s="127">
        <v>0.1963</v>
      </c>
      <c r="U15" s="127">
        <v>0.91211142000000001</v>
      </c>
      <c r="V15" s="127">
        <v>0</v>
      </c>
      <c r="W15" s="127">
        <v>676.40979200000038</v>
      </c>
      <c r="X15" s="127">
        <v>19.574868360000018</v>
      </c>
      <c r="Y15" s="127">
        <v>22.525823389999999</v>
      </c>
      <c r="Z15" s="127">
        <v>0</v>
      </c>
      <c r="AA15" s="127">
        <v>2.1686598300000002</v>
      </c>
      <c r="AB15" s="127">
        <v>0</v>
      </c>
      <c r="AC15" s="127">
        <v>31.934630070000001</v>
      </c>
      <c r="AD15" s="127">
        <v>0</v>
      </c>
      <c r="AE15" s="127">
        <v>60.798901380000004</v>
      </c>
      <c r="AF15" s="127">
        <v>0</v>
      </c>
      <c r="AG15" s="127">
        <v>380.30935400999994</v>
      </c>
    </row>
    <row r="16" spans="1:80" ht="15" customHeight="1" x14ac:dyDescent="0.25">
      <c r="A16" s="124" t="s">
        <v>52</v>
      </c>
      <c r="B16" s="125">
        <v>15637.419790710004</v>
      </c>
      <c r="C16" s="125">
        <v>1386.7515801299999</v>
      </c>
      <c r="D16" s="126">
        <f>C16/B16*100</f>
        <v>8.868161107715812</v>
      </c>
      <c r="E16" s="127">
        <v>2491.16302649</v>
      </c>
      <c r="F16" s="127">
        <v>16.335075500000002</v>
      </c>
      <c r="G16" s="127">
        <v>618.83212729000013</v>
      </c>
      <c r="H16" s="127">
        <v>8.2195</v>
      </c>
      <c r="I16" s="127">
        <v>477.48468552999998</v>
      </c>
      <c r="J16" s="127">
        <v>49.985756860000002</v>
      </c>
      <c r="K16" s="127">
        <v>468.44416342</v>
      </c>
      <c r="L16" s="127">
        <v>0</v>
      </c>
      <c r="M16" s="127">
        <v>1123.7267305099999</v>
      </c>
      <c r="N16" s="127">
        <v>5.4507941799999999</v>
      </c>
      <c r="O16" s="127">
        <v>1168.1839398400002</v>
      </c>
      <c r="P16" s="127">
        <v>0.36818300000000004</v>
      </c>
      <c r="Q16" s="127">
        <v>6713.4936255599996</v>
      </c>
      <c r="R16" s="127">
        <v>247.25936539999998</v>
      </c>
      <c r="S16" s="127">
        <v>21.88924733</v>
      </c>
      <c r="T16" s="127">
        <v>0.1963</v>
      </c>
      <c r="U16" s="127">
        <v>0.87011189000000011</v>
      </c>
      <c r="V16" s="127">
        <v>0</v>
      </c>
      <c r="W16" s="127">
        <v>700.58631011000614</v>
      </c>
      <c r="X16" s="127">
        <v>17.787493460000071</v>
      </c>
      <c r="Y16" s="127">
        <v>21.527021420000001</v>
      </c>
      <c r="Z16" s="127">
        <v>0</v>
      </c>
      <c r="AA16" s="127">
        <v>2.8118310100000001</v>
      </c>
      <c r="AB16" s="127">
        <v>0</v>
      </c>
      <c r="AC16" s="127">
        <v>33.808806990000001</v>
      </c>
      <c r="AD16" s="127">
        <v>0</v>
      </c>
      <c r="AE16" s="127">
        <v>62.244114789999998</v>
      </c>
      <c r="AF16" s="127">
        <v>0</v>
      </c>
      <c r="AG16" s="127">
        <v>438.66103153000006</v>
      </c>
    </row>
    <row r="17" spans="1:33" ht="15" customHeight="1" x14ac:dyDescent="0.25">
      <c r="A17" s="124" t="s">
        <v>53</v>
      </c>
      <c r="B17" s="125" t="s">
        <v>76</v>
      </c>
      <c r="C17" s="125">
        <v>1232.4418596000003</v>
      </c>
      <c r="D17" s="126">
        <v>8.1366227187470628</v>
      </c>
      <c r="E17" s="127">
        <v>2438.4841425700001</v>
      </c>
      <c r="F17" s="127">
        <v>16.335075500000002</v>
      </c>
      <c r="G17" s="127">
        <v>615.28646822999997</v>
      </c>
      <c r="H17" s="127">
        <v>8.2195</v>
      </c>
      <c r="I17" s="127">
        <v>533.32108911</v>
      </c>
      <c r="J17" s="127">
        <v>49.985756860000002</v>
      </c>
      <c r="K17" s="127">
        <v>457.99721402000006</v>
      </c>
      <c r="L17" s="127">
        <v>0</v>
      </c>
      <c r="M17" s="127">
        <v>1132.2547219600001</v>
      </c>
      <c r="N17" s="127">
        <v>5.4507941799999999</v>
      </c>
      <c r="O17" s="127">
        <v>1101.1423324299999</v>
      </c>
      <c r="P17" s="127">
        <v>0.36818300000000004</v>
      </c>
      <c r="Q17" s="127">
        <v>6456.9184454100005</v>
      </c>
      <c r="R17" s="127">
        <v>247.25936539999998</v>
      </c>
      <c r="S17" s="127">
        <v>21.84150567</v>
      </c>
      <c r="T17" s="127">
        <v>0.1963</v>
      </c>
      <c r="U17" s="127">
        <v>0.9398473100000001</v>
      </c>
      <c r="V17" s="127">
        <v>0</v>
      </c>
      <c r="W17" s="127">
        <v>693.85578610999789</v>
      </c>
      <c r="X17" s="127">
        <v>17.787493460000071</v>
      </c>
      <c r="Y17" s="127">
        <v>21.27810659</v>
      </c>
      <c r="Z17" s="127">
        <v>0</v>
      </c>
      <c r="AA17" s="127">
        <v>2.0920272899999999</v>
      </c>
      <c r="AB17" s="127">
        <v>0</v>
      </c>
      <c r="AC17" s="127">
        <v>32.488884880000001</v>
      </c>
      <c r="AD17" s="127">
        <v>0</v>
      </c>
      <c r="AE17" s="127">
        <v>60.855100419999999</v>
      </c>
      <c r="AF17" s="127">
        <v>0</v>
      </c>
      <c r="AG17" s="127">
        <v>379.41717933000007</v>
      </c>
    </row>
    <row r="18" spans="1:33" ht="15" customHeight="1" x14ac:dyDescent="0.25">
      <c r="A18" s="124" t="s">
        <v>54</v>
      </c>
      <c r="B18" s="125" t="s">
        <v>77</v>
      </c>
      <c r="C18" s="125">
        <v>1084.8214846800001</v>
      </c>
      <c r="D18" s="126">
        <v>7.3468984276062175</v>
      </c>
      <c r="E18" s="127">
        <v>2397.2323801900002</v>
      </c>
      <c r="F18" s="127">
        <v>16.335075500000002</v>
      </c>
      <c r="G18" s="127">
        <v>614.95264886999996</v>
      </c>
      <c r="H18" s="127">
        <v>8.2195</v>
      </c>
      <c r="I18" s="127">
        <v>532.95972023000002</v>
      </c>
      <c r="J18" s="127">
        <v>49.985756860000002</v>
      </c>
      <c r="K18" s="127">
        <v>426.51841343000001</v>
      </c>
      <c r="L18" s="127">
        <v>0</v>
      </c>
      <c r="M18" s="127">
        <v>1153.8423967900001</v>
      </c>
      <c r="N18" s="127">
        <v>5.4507941799999999</v>
      </c>
      <c r="O18" s="127">
        <v>961.53081285999986</v>
      </c>
      <c r="P18" s="127">
        <v>0.36818300000000004</v>
      </c>
      <c r="Q18" s="127">
        <v>6328.02045034</v>
      </c>
      <c r="R18" s="127">
        <v>247.25936539999998</v>
      </c>
      <c r="S18" s="127">
        <v>21.86739691</v>
      </c>
      <c r="T18" s="127">
        <v>0.1963</v>
      </c>
      <c r="U18" s="127">
        <v>0.84922034000000002</v>
      </c>
      <c r="V18" s="127">
        <v>0</v>
      </c>
      <c r="W18" s="127">
        <v>789.95859090999954</v>
      </c>
      <c r="X18" s="127">
        <v>17.787493460000071</v>
      </c>
      <c r="Y18" s="127">
        <v>24.635880090000001</v>
      </c>
      <c r="Z18" s="127">
        <v>0</v>
      </c>
      <c r="AA18" s="127">
        <v>2.3880537299999998</v>
      </c>
      <c r="AB18" s="127">
        <v>0</v>
      </c>
      <c r="AC18" s="127">
        <v>30.33864049</v>
      </c>
      <c r="AD18" s="127">
        <v>0</v>
      </c>
      <c r="AE18" s="127">
        <v>50.181441739999997</v>
      </c>
      <c r="AF18" s="127">
        <v>0</v>
      </c>
      <c r="AG18" s="127">
        <v>328.48196079000002</v>
      </c>
    </row>
    <row r="19" spans="1:33" ht="15" customHeight="1" x14ac:dyDescent="0.25">
      <c r="A19" s="124" t="s">
        <v>55</v>
      </c>
      <c r="B19" s="125">
        <v>14550.65617651</v>
      </c>
      <c r="C19" s="125">
        <v>1065.51597606</v>
      </c>
      <c r="D19" s="126">
        <f t="shared" ref="D19:D25" si="0">C19/B19*100</f>
        <v>7.3228036119781761</v>
      </c>
      <c r="E19" s="127">
        <v>2378.5687752399999</v>
      </c>
      <c r="F19" s="127">
        <v>16.409448959999999</v>
      </c>
      <c r="G19" s="127">
        <v>551.70009227000003</v>
      </c>
      <c r="H19" s="127">
        <v>10.54</v>
      </c>
      <c r="I19" s="127">
        <v>524.94022820999999</v>
      </c>
      <c r="J19" s="127">
        <v>27.794923600000001</v>
      </c>
      <c r="K19" s="127">
        <v>420.78440397000003</v>
      </c>
      <c r="L19" s="127">
        <v>0</v>
      </c>
      <c r="M19" s="127">
        <v>1164.4747104199998</v>
      </c>
      <c r="N19" s="127">
        <v>7.36333371</v>
      </c>
      <c r="O19" s="127">
        <v>915.38829026000008</v>
      </c>
      <c r="P19" s="127">
        <v>0.34300000000000003</v>
      </c>
      <c r="Q19" s="127">
        <v>6300.7536029399989</v>
      </c>
      <c r="R19" s="127">
        <v>239.29632063000003</v>
      </c>
      <c r="S19" s="127">
        <v>21.8536298</v>
      </c>
      <c r="T19" s="127">
        <v>0.18129999999999999</v>
      </c>
      <c r="U19" s="127">
        <v>0.84922034000000002</v>
      </c>
      <c r="V19" s="127">
        <v>0</v>
      </c>
      <c r="W19" s="127">
        <v>790.16273786000045</v>
      </c>
      <c r="X19" s="127">
        <v>17.973708639999931</v>
      </c>
      <c r="Y19" s="127">
        <v>23.671721489999999</v>
      </c>
      <c r="Z19" s="127">
        <v>0</v>
      </c>
      <c r="AA19" s="127">
        <v>2.07621023</v>
      </c>
      <c r="AB19" s="127">
        <v>0</v>
      </c>
      <c r="AC19" s="127">
        <v>27.111899879999999</v>
      </c>
      <c r="AD19" s="127">
        <v>3.1752000000000002E-2</v>
      </c>
      <c r="AE19" s="127">
        <v>42.870890000000003</v>
      </c>
      <c r="AF19" s="127">
        <v>0</v>
      </c>
      <c r="AG19" s="127">
        <v>321.80638771000002</v>
      </c>
    </row>
    <row r="20" spans="1:33" ht="15" customHeight="1" x14ac:dyDescent="0.25">
      <c r="A20" s="124" t="s">
        <v>56</v>
      </c>
      <c r="B20" s="125">
        <v>14585.314835289999</v>
      </c>
      <c r="C20" s="125">
        <v>1062.4228878200001</v>
      </c>
      <c r="D20" s="126">
        <f t="shared" si="0"/>
        <v>7.2841957806039774</v>
      </c>
      <c r="E20" s="127">
        <v>2362.6748973000003</v>
      </c>
      <c r="F20" s="127">
        <v>16.409448959999999</v>
      </c>
      <c r="G20" s="127">
        <v>553.27334117999999</v>
      </c>
      <c r="H20" s="127">
        <v>10.54</v>
      </c>
      <c r="I20" s="127">
        <v>525.54540322000003</v>
      </c>
      <c r="J20" s="127">
        <v>27.794923600000001</v>
      </c>
      <c r="K20" s="127">
        <v>428.79080331</v>
      </c>
      <c r="L20" s="127">
        <v>0</v>
      </c>
      <c r="M20" s="127">
        <v>1183.6976434199998</v>
      </c>
      <c r="N20" s="127">
        <v>7.36333371</v>
      </c>
      <c r="O20" s="127">
        <v>917.40482293999992</v>
      </c>
      <c r="P20" s="127">
        <v>0.34300000000000003</v>
      </c>
      <c r="Q20" s="127">
        <v>6321.2446722200002</v>
      </c>
      <c r="R20" s="127">
        <v>239.29632063000003</v>
      </c>
      <c r="S20" s="127">
        <v>23.083901919999999</v>
      </c>
      <c r="T20" s="127">
        <v>0.18129999999999999</v>
      </c>
      <c r="U20" s="127">
        <v>0.84922034000000002</v>
      </c>
      <c r="V20" s="127">
        <v>0</v>
      </c>
      <c r="W20" s="127">
        <v>792.41411878999861</v>
      </c>
      <c r="X20" s="127">
        <v>17.973708639999931</v>
      </c>
      <c r="Y20" s="127">
        <v>24.128914219999999</v>
      </c>
      <c r="Z20" s="127">
        <v>0</v>
      </c>
      <c r="AA20" s="127">
        <v>2.1125600200000001</v>
      </c>
      <c r="AB20" s="127">
        <v>0</v>
      </c>
      <c r="AC20" s="127">
        <v>24.82214767</v>
      </c>
      <c r="AD20" s="127">
        <v>3.1752000000000002E-2</v>
      </c>
      <c r="AE20" s="127">
        <v>42.91571338</v>
      </c>
      <c r="AF20" s="127">
        <v>0</v>
      </c>
      <c r="AG20" s="127">
        <v>320.60784153999998</v>
      </c>
    </row>
    <row r="21" spans="1:33" ht="15" customHeight="1" x14ac:dyDescent="0.25">
      <c r="A21" s="124" t="s">
        <v>57</v>
      </c>
      <c r="B21" s="125">
        <v>14685.09807815</v>
      </c>
      <c r="C21" s="125">
        <v>1065.4106116100002</v>
      </c>
      <c r="D21" s="126">
        <f t="shared" si="0"/>
        <v>7.2550459379990633</v>
      </c>
      <c r="E21" s="127">
        <v>2378.7448912700002</v>
      </c>
      <c r="F21" s="127">
        <v>16.409448959999999</v>
      </c>
      <c r="G21" s="127">
        <v>534.86959417999992</v>
      </c>
      <c r="H21" s="127">
        <v>10.54</v>
      </c>
      <c r="I21" s="127">
        <v>529.93283752000002</v>
      </c>
      <c r="J21" s="127">
        <v>27.794923600000001</v>
      </c>
      <c r="K21" s="127">
        <v>433.14310065000006</v>
      </c>
      <c r="L21" s="127">
        <v>0</v>
      </c>
      <c r="M21" s="127">
        <v>1187.6001615399998</v>
      </c>
      <c r="N21" s="127">
        <v>7.36333371</v>
      </c>
      <c r="O21" s="127">
        <v>901.43872137000005</v>
      </c>
      <c r="P21" s="127">
        <v>0.34300000000000003</v>
      </c>
      <c r="Q21" s="127">
        <v>6420.2874057599984</v>
      </c>
      <c r="R21" s="127">
        <v>239.29632063000003</v>
      </c>
      <c r="S21" s="127">
        <v>22.210392549999998</v>
      </c>
      <c r="T21" s="127">
        <v>0.18129999999999999</v>
      </c>
      <c r="U21" s="127">
        <v>0.82019887999999996</v>
      </c>
      <c r="V21" s="127">
        <v>0</v>
      </c>
      <c r="W21" s="127">
        <v>795.34511342000008</v>
      </c>
      <c r="X21" s="127">
        <v>17.973708639999931</v>
      </c>
      <c r="Y21" s="127">
        <v>26.211952490000002</v>
      </c>
      <c r="Z21" s="127">
        <v>0</v>
      </c>
      <c r="AA21" s="127">
        <v>2.35648737</v>
      </c>
      <c r="AB21" s="127">
        <v>0</v>
      </c>
      <c r="AC21" s="127">
        <v>24.204323889999998</v>
      </c>
      <c r="AD21" s="127">
        <v>3.1752000000000002E-2</v>
      </c>
      <c r="AE21" s="127">
        <v>42.588498110000003</v>
      </c>
      <c r="AF21" s="127">
        <v>0</v>
      </c>
      <c r="AG21" s="127">
        <v>316.21093585</v>
      </c>
    </row>
    <row r="22" spans="1:33" ht="15" customHeight="1" x14ac:dyDescent="0.25">
      <c r="A22" s="124" t="s">
        <v>58</v>
      </c>
      <c r="B22" s="125">
        <v>14873.658797599997</v>
      </c>
      <c r="C22" s="125">
        <v>1069.5053916999996</v>
      </c>
      <c r="D22" s="126">
        <f t="shared" si="0"/>
        <v>7.1906005526533532</v>
      </c>
      <c r="E22" s="127">
        <v>2481.0149246299998</v>
      </c>
      <c r="F22" s="127">
        <v>14.726789470000002</v>
      </c>
      <c r="G22" s="127">
        <v>512.16294926</v>
      </c>
      <c r="H22" s="127">
        <v>10.54</v>
      </c>
      <c r="I22" s="127">
        <v>534.42749503999994</v>
      </c>
      <c r="J22" s="127">
        <v>28.995204609999998</v>
      </c>
      <c r="K22" s="127">
        <v>433.73405429000002</v>
      </c>
      <c r="L22" s="127">
        <v>0</v>
      </c>
      <c r="M22" s="127">
        <v>1182.60945509</v>
      </c>
      <c r="N22" s="127">
        <v>6.9593881299999998</v>
      </c>
      <c r="O22" s="127">
        <v>891.58932236999988</v>
      </c>
      <c r="P22" s="127">
        <v>0.41299999999999998</v>
      </c>
      <c r="Q22" s="127">
        <v>6541.8174222599991</v>
      </c>
      <c r="R22" s="127">
        <v>238.56019057999998</v>
      </c>
      <c r="S22" s="127">
        <v>20.87193864</v>
      </c>
      <c r="T22" s="127">
        <v>0.18129999999999999</v>
      </c>
      <c r="U22" s="127">
        <v>0.82180977999999993</v>
      </c>
      <c r="V22" s="127">
        <v>0</v>
      </c>
      <c r="W22" s="127">
        <v>788.68885742000145</v>
      </c>
      <c r="X22" s="127">
        <v>15.592253900000014</v>
      </c>
      <c r="Y22" s="127">
        <v>27.087395489999999</v>
      </c>
      <c r="Z22" s="127">
        <v>0</v>
      </c>
      <c r="AA22" s="127">
        <v>2.3220422200000002</v>
      </c>
      <c r="AB22" s="127">
        <v>0</v>
      </c>
      <c r="AC22" s="127">
        <v>29.444507569999999</v>
      </c>
      <c r="AD22" s="127">
        <v>1.3479E-2</v>
      </c>
      <c r="AE22" s="127">
        <v>41.579626149999996</v>
      </c>
      <c r="AF22" s="127">
        <v>0</v>
      </c>
      <c r="AG22" s="127">
        <v>314.00647365999998</v>
      </c>
    </row>
    <row r="23" spans="1:33" ht="15" customHeight="1" x14ac:dyDescent="0.25">
      <c r="A23" s="124" t="s">
        <v>59</v>
      </c>
      <c r="B23" s="125">
        <v>14785.940748229998</v>
      </c>
      <c r="C23" s="125">
        <v>1006.5232318599999</v>
      </c>
      <c r="D23" s="126">
        <f t="shared" si="0"/>
        <v>6.8072992378282677</v>
      </c>
      <c r="E23" s="127">
        <v>2532.0973747600001</v>
      </c>
      <c r="F23" s="127">
        <v>14.726789470000002</v>
      </c>
      <c r="G23" s="127">
        <v>502.28735919000002</v>
      </c>
      <c r="H23" s="127">
        <v>10.54</v>
      </c>
      <c r="I23" s="127">
        <v>523.18709729999989</v>
      </c>
      <c r="J23" s="127">
        <v>28.995204609999998</v>
      </c>
      <c r="K23" s="127">
        <v>432.26422624999998</v>
      </c>
      <c r="L23" s="127">
        <v>0</v>
      </c>
      <c r="M23" s="127">
        <v>1221.48748387</v>
      </c>
      <c r="N23" s="127">
        <v>6.9593881299999998</v>
      </c>
      <c r="O23" s="127">
        <v>875.18294334000007</v>
      </c>
      <c r="P23" s="127">
        <v>0.41299999999999998</v>
      </c>
      <c r="Q23" s="127">
        <v>6526.4718856799991</v>
      </c>
      <c r="R23" s="127">
        <v>238.56019057999998</v>
      </c>
      <c r="S23" s="127">
        <v>21.179231559999998</v>
      </c>
      <c r="T23" s="127">
        <v>0.18129999999999999</v>
      </c>
      <c r="U23" s="127">
        <v>0.79625563999999993</v>
      </c>
      <c r="V23" s="127">
        <v>0</v>
      </c>
      <c r="W23" s="127">
        <v>730.85008213999924</v>
      </c>
      <c r="X23" s="127">
        <v>15.592253900000014</v>
      </c>
      <c r="Y23" s="127">
        <v>25.990582490000001</v>
      </c>
      <c r="Z23" s="127">
        <v>0</v>
      </c>
      <c r="AA23" s="127">
        <v>2.0200656700000001</v>
      </c>
      <c r="AB23" s="127">
        <v>0</v>
      </c>
      <c r="AC23" s="127">
        <v>31.97589159</v>
      </c>
      <c r="AD23" s="127">
        <v>1.3479E-2</v>
      </c>
      <c r="AE23" s="127">
        <v>37.645431200000004</v>
      </c>
      <c r="AF23" s="127">
        <v>0</v>
      </c>
      <c r="AG23" s="127">
        <v>437.31771748000006</v>
      </c>
    </row>
    <row r="24" spans="1:33" ht="15" customHeight="1" x14ac:dyDescent="0.25">
      <c r="A24" s="124" t="s">
        <v>60</v>
      </c>
      <c r="B24" s="125">
        <v>14681.276736810001</v>
      </c>
      <c r="C24" s="125">
        <v>922.91633637999996</v>
      </c>
      <c r="D24" s="126">
        <f t="shared" si="0"/>
        <v>6.2863492932191285</v>
      </c>
      <c r="E24" s="127">
        <v>2579.8380709799999</v>
      </c>
      <c r="F24" s="127">
        <v>14.726789470000002</v>
      </c>
      <c r="G24" s="127">
        <v>506.17252259000003</v>
      </c>
      <c r="H24" s="127">
        <v>10.54</v>
      </c>
      <c r="I24" s="127">
        <v>524.92194959000005</v>
      </c>
      <c r="J24" s="127">
        <v>28.995204609999998</v>
      </c>
      <c r="K24" s="127">
        <v>477.40030588999997</v>
      </c>
      <c r="L24" s="127">
        <v>0</v>
      </c>
      <c r="M24" s="127">
        <v>1375.1527625599999</v>
      </c>
      <c r="N24" s="127">
        <v>6.9593881299999998</v>
      </c>
      <c r="O24" s="127">
        <v>857.47137640999995</v>
      </c>
      <c r="P24" s="127">
        <v>0.41299999999999998</v>
      </c>
      <c r="Q24" s="127">
        <v>6518.7552752199999</v>
      </c>
      <c r="R24" s="127">
        <v>238.56019057999998</v>
      </c>
      <c r="S24" s="127">
        <v>24.347565280000001</v>
      </c>
      <c r="T24" s="127">
        <v>0.18129999999999999</v>
      </c>
      <c r="U24" s="127">
        <v>0.78461822999999997</v>
      </c>
      <c r="V24" s="127">
        <v>0</v>
      </c>
      <c r="W24" s="127">
        <v>497.42503990999904</v>
      </c>
      <c r="X24" s="127">
        <v>15.592253900000014</v>
      </c>
      <c r="Y24" s="127">
        <v>6.7282521899999992</v>
      </c>
      <c r="Z24" s="127">
        <v>0</v>
      </c>
      <c r="AA24" s="127">
        <v>2.0186709399999998</v>
      </c>
      <c r="AB24" s="127">
        <v>0</v>
      </c>
      <c r="AC24" s="127">
        <v>34.947813449999998</v>
      </c>
      <c r="AD24" s="127">
        <v>1.3479E-2</v>
      </c>
      <c r="AE24" s="127">
        <v>36.414571500000001</v>
      </c>
      <c r="AF24" s="127">
        <v>0</v>
      </c>
      <c r="AG24" s="127">
        <v>449.96527655</v>
      </c>
    </row>
    <row r="25" spans="1:33" ht="15" customHeight="1" x14ac:dyDescent="0.25">
      <c r="A25" s="124" t="s">
        <v>61</v>
      </c>
      <c r="B25" s="125">
        <v>14530.42312815</v>
      </c>
      <c r="C25" s="125">
        <v>893.13990543999989</v>
      </c>
      <c r="D25" s="126">
        <f t="shared" si="0"/>
        <v>6.1466888993047082</v>
      </c>
      <c r="E25" s="127">
        <v>2598.7064799199998</v>
      </c>
      <c r="F25" s="127">
        <v>8.1391568500000009</v>
      </c>
      <c r="G25" s="127">
        <v>512.73198853999997</v>
      </c>
      <c r="H25" s="127">
        <v>11.75465</v>
      </c>
      <c r="I25" s="127">
        <v>531.28475893999996</v>
      </c>
      <c r="J25" s="127">
        <v>34.965158549999998</v>
      </c>
      <c r="K25" s="127">
        <v>492.95189799000002</v>
      </c>
      <c r="L25" s="127">
        <v>0</v>
      </c>
      <c r="M25" s="127">
        <v>1241.2799363700001</v>
      </c>
      <c r="N25" s="127">
        <v>8.777420600000001</v>
      </c>
      <c r="O25" s="127">
        <v>847.85810412000001</v>
      </c>
      <c r="P25" s="127">
        <v>0.66084100000000001</v>
      </c>
      <c r="Q25" s="127">
        <v>6477.0138981200007</v>
      </c>
      <c r="R25" s="127">
        <v>232.25763719999998</v>
      </c>
      <c r="S25" s="127">
        <v>23.781950299999998</v>
      </c>
      <c r="T25" s="127">
        <v>0.18279999999999999</v>
      </c>
      <c r="U25" s="127">
        <v>0.77283535000000003</v>
      </c>
      <c r="V25" s="127">
        <v>0</v>
      </c>
      <c r="W25" s="127">
        <v>511.74928207000175</v>
      </c>
      <c r="X25" s="127">
        <v>16.155075349999983</v>
      </c>
      <c r="Y25" s="127">
        <v>7.44049213</v>
      </c>
      <c r="Z25" s="127">
        <v>0</v>
      </c>
      <c r="AA25" s="127">
        <v>1.9654957500000001</v>
      </c>
      <c r="AB25" s="127">
        <v>0</v>
      </c>
      <c r="AC25" s="127">
        <v>40.019494620000003</v>
      </c>
      <c r="AD25" s="127">
        <v>8.4699999999999999E-4</v>
      </c>
      <c r="AE25" s="127">
        <v>36.833021939999995</v>
      </c>
      <c r="AF25" s="127">
        <v>0</v>
      </c>
      <c r="AG25" s="127">
        <v>472.36382140000001</v>
      </c>
    </row>
    <row r="26" spans="1:33" x14ac:dyDescent="0.25">
      <c r="A26" s="128">
        <v>2021</v>
      </c>
      <c r="B26" s="128"/>
      <c r="C26" s="128"/>
      <c r="D26" s="128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30"/>
      <c r="V26" s="129"/>
      <c r="W26" s="129"/>
      <c r="X26" s="129"/>
      <c r="Y26" s="131"/>
      <c r="Z26" s="131"/>
      <c r="AA26" s="131"/>
      <c r="AB26" s="131"/>
      <c r="AC26" s="131"/>
      <c r="AD26" s="131"/>
      <c r="AE26" s="131"/>
      <c r="AF26" s="131"/>
      <c r="AG26" s="129"/>
    </row>
    <row r="27" spans="1:33" x14ac:dyDescent="0.25">
      <c r="A27" s="124" t="s">
        <v>50</v>
      </c>
      <c r="B27" s="125">
        <v>14587.203226590002</v>
      </c>
      <c r="C27" s="125">
        <v>900.38567629999977</v>
      </c>
      <c r="D27" s="126">
        <f t="shared" ref="D27:D38" si="1">C27/B27*100</f>
        <v>6.1724352661293498</v>
      </c>
      <c r="E27" s="127">
        <v>2599.1376953299996</v>
      </c>
      <c r="F27" s="127">
        <v>8.1391568500000009</v>
      </c>
      <c r="G27" s="127">
        <v>759.24294873999997</v>
      </c>
      <c r="H27" s="127">
        <v>11.75465</v>
      </c>
      <c r="I27" s="127">
        <v>537.99087044999999</v>
      </c>
      <c r="J27" s="127">
        <v>34.965158549999998</v>
      </c>
      <c r="K27" s="127">
        <v>527.06655323999996</v>
      </c>
      <c r="L27" s="127">
        <v>0</v>
      </c>
      <c r="M27" s="127">
        <v>972.77601623999999</v>
      </c>
      <c r="N27" s="127">
        <v>8.777420600000001</v>
      </c>
      <c r="O27" s="127">
        <v>831.50276643999996</v>
      </c>
      <c r="P27" s="127">
        <v>0.66084100000000001</v>
      </c>
      <c r="Q27" s="127">
        <v>6549.4246127300003</v>
      </c>
      <c r="R27" s="127">
        <v>232.25763719999998</v>
      </c>
      <c r="S27" s="127">
        <v>19.063408680000002</v>
      </c>
      <c r="T27" s="127">
        <v>0.18279999999999999</v>
      </c>
      <c r="U27" s="127">
        <v>0.76090519000000001</v>
      </c>
      <c r="V27" s="127">
        <v>0</v>
      </c>
      <c r="W27" s="127">
        <v>504.72276179000067</v>
      </c>
      <c r="X27" s="127">
        <v>16.155075349999983</v>
      </c>
      <c r="Y27" s="127">
        <v>8.9022348099999995</v>
      </c>
      <c r="Z27" s="127">
        <v>0</v>
      </c>
      <c r="AA27" s="127">
        <v>1.8643147600000001</v>
      </c>
      <c r="AB27" s="127">
        <v>0</v>
      </c>
      <c r="AC27" s="127">
        <v>29.749525500000001</v>
      </c>
      <c r="AD27" s="127">
        <v>8.4699999999999999E-4</v>
      </c>
      <c r="AE27" s="127">
        <v>31.71934984</v>
      </c>
      <c r="AF27" s="127">
        <v>0</v>
      </c>
      <c r="AG27" s="127">
        <v>487.78963322999999</v>
      </c>
    </row>
    <row r="28" spans="1:33" x14ac:dyDescent="0.25">
      <c r="A28" s="124" t="s">
        <v>51</v>
      </c>
      <c r="B28" s="125">
        <v>14619.545503340001</v>
      </c>
      <c r="C28" s="125">
        <v>917.51636969999993</v>
      </c>
      <c r="D28" s="126">
        <f t="shared" si="1"/>
        <v>6.2759568653511346</v>
      </c>
      <c r="E28" s="127">
        <v>2504.1076695600004</v>
      </c>
      <c r="F28" s="127">
        <v>8.1391568500000009</v>
      </c>
      <c r="G28" s="127">
        <v>756.37474811999994</v>
      </c>
      <c r="H28" s="127">
        <v>11.75465</v>
      </c>
      <c r="I28" s="127">
        <v>534.84074794000003</v>
      </c>
      <c r="J28" s="127">
        <v>34.965158549999998</v>
      </c>
      <c r="K28" s="127">
        <v>687.96381294000003</v>
      </c>
      <c r="L28" s="127">
        <v>0</v>
      </c>
      <c r="M28" s="127">
        <v>899.53158280999992</v>
      </c>
      <c r="N28" s="127">
        <v>8.777420600000001</v>
      </c>
      <c r="O28" s="127">
        <v>859.87628553000002</v>
      </c>
      <c r="P28" s="127">
        <v>0.66084100000000001</v>
      </c>
      <c r="Q28" s="127">
        <v>6539.0817762200004</v>
      </c>
      <c r="R28" s="127">
        <v>232.25763719999998</v>
      </c>
      <c r="S28" s="127">
        <v>15.815243430000001</v>
      </c>
      <c r="T28" s="127">
        <v>0.18279999999999999</v>
      </c>
      <c r="U28" s="127">
        <v>0.74882589999999993</v>
      </c>
      <c r="V28" s="127">
        <v>0</v>
      </c>
      <c r="W28" s="127">
        <v>518.57225738999955</v>
      </c>
      <c r="X28" s="127">
        <v>16.155075349999983</v>
      </c>
      <c r="Y28" s="127">
        <v>7.1446817000000005</v>
      </c>
      <c r="Z28" s="127">
        <v>0</v>
      </c>
      <c r="AA28" s="127">
        <v>2.7466538899999997</v>
      </c>
      <c r="AB28" s="127">
        <v>0</v>
      </c>
      <c r="AC28" s="127">
        <v>31.743005580000002</v>
      </c>
      <c r="AD28" s="127">
        <v>8.4699999999999999E-4</v>
      </c>
      <c r="AE28" s="127">
        <v>30.588256080000008</v>
      </c>
      <c r="AF28" s="127">
        <v>0</v>
      </c>
      <c r="AG28" s="127">
        <v>460.97720242999998</v>
      </c>
    </row>
    <row r="29" spans="1:33" x14ac:dyDescent="0.25">
      <c r="A29" s="124" t="s">
        <v>52</v>
      </c>
      <c r="B29" s="125">
        <v>14728.03039973</v>
      </c>
      <c r="C29" s="125">
        <v>918.15007710999998</v>
      </c>
      <c r="D29" s="126">
        <f t="shared" si="1"/>
        <v>6.2340316538648093</v>
      </c>
      <c r="E29" s="127">
        <v>2507.9805126300002</v>
      </c>
      <c r="F29" s="127">
        <v>8.8389101100000005</v>
      </c>
      <c r="G29" s="127">
        <v>757.21330558000011</v>
      </c>
      <c r="H29" s="127">
        <v>11.75465</v>
      </c>
      <c r="I29" s="127">
        <v>540.71176303000004</v>
      </c>
      <c r="J29" s="127">
        <v>30.199528649999998</v>
      </c>
      <c r="K29" s="127">
        <v>681.49539245999995</v>
      </c>
      <c r="L29" s="127">
        <v>0</v>
      </c>
      <c r="M29" s="127">
        <v>910.73295688000007</v>
      </c>
      <c r="N29" s="127">
        <v>9.2551010300000005</v>
      </c>
      <c r="O29" s="127">
        <v>853.29803943000002</v>
      </c>
      <c r="P29" s="127">
        <v>0.93415236000000001</v>
      </c>
      <c r="Q29" s="127">
        <v>6632.1192125799998</v>
      </c>
      <c r="R29" s="127">
        <v>237.18815997999999</v>
      </c>
      <c r="S29" s="127">
        <v>17.884563480000001</v>
      </c>
      <c r="T29" s="127">
        <v>0.18279999999999999</v>
      </c>
      <c r="U29" s="127">
        <v>0.7365956199999999</v>
      </c>
      <c r="V29" s="127">
        <v>0</v>
      </c>
      <c r="W29" s="127">
        <v>519.57304165000096</v>
      </c>
      <c r="X29" s="127">
        <v>17.054115289999956</v>
      </c>
      <c r="Y29" s="127">
        <v>5.8155647699999999</v>
      </c>
      <c r="Z29" s="127">
        <v>0</v>
      </c>
      <c r="AA29" s="127">
        <v>2.62603966</v>
      </c>
      <c r="AB29" s="127">
        <v>0</v>
      </c>
      <c r="AC29" s="127">
        <v>32.790854270000004</v>
      </c>
      <c r="AD29" s="127">
        <v>0</v>
      </c>
      <c r="AE29" s="127">
        <v>31.495063160000008</v>
      </c>
      <c r="AF29" s="127">
        <v>0</v>
      </c>
      <c r="AG29" s="127">
        <v>456.53499706000002</v>
      </c>
    </row>
    <row r="30" spans="1:33" x14ac:dyDescent="0.25">
      <c r="A30" s="124" t="s">
        <v>53</v>
      </c>
      <c r="B30" s="125">
        <v>14987.495848650002</v>
      </c>
      <c r="C30" s="125">
        <v>921.53370200000006</v>
      </c>
      <c r="D30" s="126">
        <f t="shared" si="1"/>
        <v>6.1486836180375466</v>
      </c>
      <c r="E30" s="127">
        <v>2549.8556796299999</v>
      </c>
      <c r="F30" s="127">
        <v>8.8389101100000005</v>
      </c>
      <c r="G30" s="127">
        <v>766.61467655999991</v>
      </c>
      <c r="H30" s="127">
        <v>11.75465</v>
      </c>
      <c r="I30" s="127">
        <v>533.94968663999998</v>
      </c>
      <c r="J30" s="127">
        <v>30.199528649999998</v>
      </c>
      <c r="K30" s="127">
        <v>688.82102366000004</v>
      </c>
      <c r="L30" s="127">
        <v>0</v>
      </c>
      <c r="M30" s="127">
        <v>905.59455224999999</v>
      </c>
      <c r="N30" s="127">
        <v>9.2551010300000005</v>
      </c>
      <c r="O30" s="127">
        <v>870.09419116999993</v>
      </c>
      <c r="P30" s="127">
        <v>0.93415236000000001</v>
      </c>
      <c r="Q30" s="127">
        <v>6807.4701766500011</v>
      </c>
      <c r="R30" s="127">
        <v>237.18815997999999</v>
      </c>
      <c r="S30" s="127">
        <v>17.12009196</v>
      </c>
      <c r="T30" s="127">
        <v>0.18279999999999999</v>
      </c>
      <c r="U30" s="127">
        <v>0.69421246000000003</v>
      </c>
      <c r="V30" s="127">
        <v>0</v>
      </c>
      <c r="W30" s="127">
        <v>527.80753939999818</v>
      </c>
      <c r="X30" s="127">
        <v>17.054115289999956</v>
      </c>
      <c r="Y30" s="127">
        <v>6.7236414600000005</v>
      </c>
      <c r="Z30" s="127">
        <v>0</v>
      </c>
      <c r="AA30" s="127">
        <v>2.6595292699999997</v>
      </c>
      <c r="AB30" s="127">
        <v>0</v>
      </c>
      <c r="AC30" s="127">
        <v>37.676938090000007</v>
      </c>
      <c r="AD30" s="127">
        <v>0</v>
      </c>
      <c r="AE30" s="127">
        <v>35.472790029999999</v>
      </c>
      <c r="AF30" s="127">
        <v>0</v>
      </c>
      <c r="AG30" s="127">
        <v>477.63473532</v>
      </c>
    </row>
    <row r="31" spans="1:33" x14ac:dyDescent="0.25">
      <c r="A31" s="124" t="s">
        <v>54</v>
      </c>
      <c r="B31" s="125">
        <v>15067.068306839999</v>
      </c>
      <c r="C31" s="125">
        <v>906.90793024999994</v>
      </c>
      <c r="D31" s="126">
        <f t="shared" si="1"/>
        <v>6.0191399665872014</v>
      </c>
      <c r="E31" s="127">
        <v>2551.2740627099997</v>
      </c>
      <c r="F31" s="127">
        <v>8.8389101100000005</v>
      </c>
      <c r="G31" s="127">
        <v>758.91417658</v>
      </c>
      <c r="H31" s="127">
        <v>11.75465</v>
      </c>
      <c r="I31" s="127">
        <v>536.11958942999991</v>
      </c>
      <c r="J31" s="127">
        <v>30.199528649999998</v>
      </c>
      <c r="K31" s="127">
        <v>721.89632615000005</v>
      </c>
      <c r="L31" s="127">
        <v>0</v>
      </c>
      <c r="M31" s="127">
        <v>915.36763211999994</v>
      </c>
      <c r="N31" s="127">
        <v>9.2551010300000005</v>
      </c>
      <c r="O31" s="127">
        <v>824.98340723000001</v>
      </c>
      <c r="P31" s="127">
        <v>0.93415236000000001</v>
      </c>
      <c r="Q31" s="127">
        <v>6914.7730755600005</v>
      </c>
      <c r="R31" s="127">
        <v>237.18815997999999</v>
      </c>
      <c r="S31" s="127">
        <v>18.008724699999998</v>
      </c>
      <c r="T31" s="127">
        <v>0.18279999999999999</v>
      </c>
      <c r="U31" s="127">
        <v>0.66831650999999992</v>
      </c>
      <c r="V31" s="127">
        <v>0</v>
      </c>
      <c r="W31" s="127">
        <v>521.82036075000178</v>
      </c>
      <c r="X31" s="127">
        <v>17.054115289999956</v>
      </c>
      <c r="Y31" s="127">
        <v>6.0750850400000003</v>
      </c>
      <c r="Z31" s="127">
        <v>0</v>
      </c>
      <c r="AA31" s="127">
        <v>2.6283231300000001</v>
      </c>
      <c r="AB31" s="127">
        <v>0</v>
      </c>
      <c r="AC31" s="127">
        <v>37.641860899999998</v>
      </c>
      <c r="AD31" s="127">
        <v>0</v>
      </c>
      <c r="AE31" s="127">
        <v>34.582018359999999</v>
      </c>
      <c r="AF31" s="127">
        <v>0</v>
      </c>
      <c r="AG31" s="127">
        <v>483.65381840999999</v>
      </c>
    </row>
    <row r="32" spans="1:33" x14ac:dyDescent="0.25">
      <c r="A32" s="124" t="s">
        <v>55</v>
      </c>
      <c r="B32" s="125">
        <v>15258.058194190002</v>
      </c>
      <c r="C32" s="125">
        <v>914.58348045999981</v>
      </c>
      <c r="D32" s="126">
        <f t="shared" si="1"/>
        <v>5.9941014041239988</v>
      </c>
      <c r="E32" s="127">
        <v>2549.45211036</v>
      </c>
      <c r="F32" s="127">
        <v>8.4186830300000004</v>
      </c>
      <c r="G32" s="127">
        <v>730.72229530000004</v>
      </c>
      <c r="H32" s="127">
        <v>17.772354199999999</v>
      </c>
      <c r="I32" s="127">
        <v>538.2262591299999</v>
      </c>
      <c r="J32" s="127">
        <v>27.820595969999999</v>
      </c>
      <c r="K32" s="127">
        <v>737.29711373999999</v>
      </c>
      <c r="L32" s="127">
        <v>0</v>
      </c>
      <c r="M32" s="127">
        <v>910.15272129000004</v>
      </c>
      <c r="N32" s="127">
        <v>11.79925588</v>
      </c>
      <c r="O32" s="127">
        <v>820.05745451000007</v>
      </c>
      <c r="P32" s="127">
        <v>0.85866142999999995</v>
      </c>
      <c r="Q32" s="127">
        <v>7066.2354611200008</v>
      </c>
      <c r="R32" s="127">
        <v>256.90963611999996</v>
      </c>
      <c r="S32" s="127">
        <v>19.670576650000001</v>
      </c>
      <c r="T32" s="127">
        <v>0.18279999999999999</v>
      </c>
      <c r="U32" s="127">
        <v>0.64521456999999993</v>
      </c>
      <c r="V32" s="127">
        <v>0</v>
      </c>
      <c r="W32" s="127">
        <v>540.08488187000091</v>
      </c>
      <c r="X32" s="127">
        <v>18.998977400000044</v>
      </c>
      <c r="Y32" s="127">
        <v>7.9188054399999999</v>
      </c>
      <c r="Z32" s="127">
        <v>0</v>
      </c>
      <c r="AA32" s="127">
        <v>6.781777439999999</v>
      </c>
      <c r="AB32" s="127">
        <v>0</v>
      </c>
      <c r="AC32" s="127">
        <v>40.376605959999999</v>
      </c>
      <c r="AD32" s="127">
        <v>0</v>
      </c>
      <c r="AE32" s="127">
        <v>33.092472319999999</v>
      </c>
      <c r="AF32" s="127">
        <v>0</v>
      </c>
      <c r="AG32" s="127">
        <v>469.41215711000001</v>
      </c>
    </row>
    <row r="33" spans="1:33" x14ac:dyDescent="0.25">
      <c r="A33" s="124" t="s">
        <v>56</v>
      </c>
      <c r="B33" s="125">
        <v>15367.672983370003</v>
      </c>
      <c r="C33" s="125">
        <v>937.46215345000007</v>
      </c>
      <c r="D33" s="126">
        <f t="shared" si="1"/>
        <v>6.1002219038918044</v>
      </c>
      <c r="E33" s="127">
        <v>2551.4528833900004</v>
      </c>
      <c r="F33" s="127">
        <v>8.4186830300000004</v>
      </c>
      <c r="G33" s="127">
        <v>722.48351907000006</v>
      </c>
      <c r="H33" s="127">
        <v>17.772354199999999</v>
      </c>
      <c r="I33" s="127">
        <v>534.04471863000003</v>
      </c>
      <c r="J33" s="127">
        <v>27.820595969999999</v>
      </c>
      <c r="K33" s="127">
        <v>771.52513070000009</v>
      </c>
      <c r="L33" s="127">
        <v>0</v>
      </c>
      <c r="M33" s="127">
        <v>906.00177702999997</v>
      </c>
      <c r="N33" s="127">
        <v>11.79925588</v>
      </c>
      <c r="O33" s="127">
        <v>756.40349149000008</v>
      </c>
      <c r="P33" s="127">
        <v>0.85866142999999995</v>
      </c>
      <c r="Q33" s="127">
        <v>7205.9675539399996</v>
      </c>
      <c r="R33" s="127">
        <v>256.90963611999996</v>
      </c>
      <c r="S33" s="127">
        <v>19.348759739999998</v>
      </c>
      <c r="T33" s="127">
        <v>0.18279999999999999</v>
      </c>
      <c r="U33" s="127">
        <v>0.62182384999999996</v>
      </c>
      <c r="V33" s="127">
        <v>0</v>
      </c>
      <c r="W33" s="127">
        <v>542.5170691900006</v>
      </c>
      <c r="X33" s="127">
        <v>18.998977400000044</v>
      </c>
      <c r="Y33" s="127">
        <v>7.1080348999999998</v>
      </c>
      <c r="Z33" s="127">
        <v>0</v>
      </c>
      <c r="AA33" s="127">
        <v>2.4405054599999998</v>
      </c>
      <c r="AB33" s="127">
        <v>0</v>
      </c>
      <c r="AC33" s="127">
        <v>38.923702589999998</v>
      </c>
      <c r="AD33" s="127">
        <v>0</v>
      </c>
      <c r="AE33" s="127">
        <v>28.610895909999996</v>
      </c>
      <c r="AF33" s="127">
        <v>0</v>
      </c>
      <c r="AG33" s="127">
        <v>470.96209210000001</v>
      </c>
    </row>
    <row r="34" spans="1:33" x14ac:dyDescent="0.25">
      <c r="A34" s="124" t="s">
        <v>57</v>
      </c>
      <c r="B34" s="125">
        <v>15607.979105320002</v>
      </c>
      <c r="C34" s="125">
        <v>904.16886915999987</v>
      </c>
      <c r="D34" s="126">
        <f t="shared" si="1"/>
        <v>5.7929912838735964</v>
      </c>
      <c r="E34" s="127">
        <v>2539.6236270300001</v>
      </c>
      <c r="F34" s="127">
        <v>8.4186830300000004</v>
      </c>
      <c r="G34" s="127">
        <v>726.17304428</v>
      </c>
      <c r="H34" s="127">
        <v>17.772354199999999</v>
      </c>
      <c r="I34" s="127">
        <v>542.56642350000004</v>
      </c>
      <c r="J34" s="127">
        <v>27.820595969999999</v>
      </c>
      <c r="K34" s="127">
        <v>808.90830033000009</v>
      </c>
      <c r="L34" s="127">
        <v>0</v>
      </c>
      <c r="M34" s="127">
        <v>860.10702729000002</v>
      </c>
      <c r="N34" s="127">
        <v>11.79925588</v>
      </c>
      <c r="O34" s="127">
        <v>747.68904634000012</v>
      </c>
      <c r="P34" s="127">
        <v>0.85866142999999995</v>
      </c>
      <c r="Q34" s="127">
        <v>7434.7409468600008</v>
      </c>
      <c r="R34" s="127">
        <v>256.90963611999996</v>
      </c>
      <c r="S34" s="127">
        <v>19.633418689999999</v>
      </c>
      <c r="T34" s="127">
        <v>0.18279999999999999</v>
      </c>
      <c r="U34" s="127">
        <v>0.57414074999999987</v>
      </c>
      <c r="V34" s="127">
        <v>0</v>
      </c>
      <c r="W34" s="127">
        <v>602.58762677000243</v>
      </c>
      <c r="X34" s="127">
        <v>18.998977400000044</v>
      </c>
      <c r="Y34" s="127">
        <v>5.9090063500000003</v>
      </c>
      <c r="Z34" s="127">
        <v>0</v>
      </c>
      <c r="AA34" s="127">
        <v>4.9918723099999998</v>
      </c>
      <c r="AB34" s="127">
        <v>0</v>
      </c>
      <c r="AC34" s="127">
        <v>38.096837030000003</v>
      </c>
      <c r="AD34" s="127">
        <v>0</v>
      </c>
      <c r="AE34" s="127">
        <v>29.447954600000003</v>
      </c>
      <c r="AF34" s="127">
        <v>0</v>
      </c>
      <c r="AG34" s="127">
        <v>516.37639208999997</v>
      </c>
    </row>
    <row r="35" spans="1:33" x14ac:dyDescent="0.25">
      <c r="A35" s="124" t="s">
        <v>58</v>
      </c>
      <c r="B35" s="125">
        <v>15957.303832469999</v>
      </c>
      <c r="C35" s="125">
        <v>871.14004874000011</v>
      </c>
      <c r="D35" s="126">
        <f t="shared" si="1"/>
        <v>5.4591932188907757</v>
      </c>
      <c r="E35" s="127">
        <v>2570.6308972100001</v>
      </c>
      <c r="F35" s="127">
        <v>8.5783721800000006</v>
      </c>
      <c r="G35" s="127">
        <v>724.51051774999996</v>
      </c>
      <c r="H35" s="127">
        <v>20.861254200000001</v>
      </c>
      <c r="I35" s="127">
        <v>546.30608309000002</v>
      </c>
      <c r="J35" s="127">
        <v>26.665374870000001</v>
      </c>
      <c r="K35" s="127">
        <v>857.72422443000005</v>
      </c>
      <c r="L35" s="127">
        <v>0.22206592999999999</v>
      </c>
      <c r="M35" s="127">
        <v>894.29216449</v>
      </c>
      <c r="N35" s="127">
        <v>14.04602861</v>
      </c>
      <c r="O35" s="127">
        <v>751.53076547000012</v>
      </c>
      <c r="P35" s="127">
        <v>2.3586548299999999</v>
      </c>
      <c r="Q35" s="127">
        <v>7661.342195369999</v>
      </c>
      <c r="R35" s="127">
        <v>270.42522850999995</v>
      </c>
      <c r="S35" s="127">
        <v>34.002924110000002</v>
      </c>
      <c r="T35" s="127">
        <v>0.18279999999999999</v>
      </c>
      <c r="U35" s="127">
        <v>0.54093726999999991</v>
      </c>
      <c r="V35" s="127">
        <v>0</v>
      </c>
      <c r="W35" s="127">
        <v>606.2895758899989</v>
      </c>
      <c r="X35" s="127">
        <v>19.802129130000012</v>
      </c>
      <c r="Y35" s="127">
        <v>9.69962138</v>
      </c>
      <c r="Z35" s="127">
        <v>0</v>
      </c>
      <c r="AA35" s="127">
        <v>2.6619728899999999</v>
      </c>
      <c r="AB35" s="127">
        <v>0</v>
      </c>
      <c r="AC35" s="127">
        <v>35.039565459999999</v>
      </c>
      <c r="AD35" s="127">
        <v>0</v>
      </c>
      <c r="AE35" s="127">
        <v>28.450430659999999</v>
      </c>
      <c r="AF35" s="127">
        <v>0</v>
      </c>
      <c r="AG35" s="127">
        <v>604.17383210000003</v>
      </c>
    </row>
    <row r="36" spans="1:33" x14ac:dyDescent="0.25">
      <c r="A36" s="124" t="s">
        <v>59</v>
      </c>
      <c r="B36" s="125">
        <v>16415.890409920004</v>
      </c>
      <c r="C36" s="125">
        <v>815.87446341000009</v>
      </c>
      <c r="D36" s="126">
        <f t="shared" si="1"/>
        <v>4.9700286919372525</v>
      </c>
      <c r="E36" s="127">
        <v>2777.5857918800002</v>
      </c>
      <c r="F36" s="127">
        <v>8.5783721800000006</v>
      </c>
      <c r="G36" s="127">
        <v>721.01597415000003</v>
      </c>
      <c r="H36" s="127">
        <v>20.861254200000001</v>
      </c>
      <c r="I36" s="127">
        <v>547.13436809999996</v>
      </c>
      <c r="J36" s="127">
        <v>26.665374870000001</v>
      </c>
      <c r="K36" s="127">
        <v>879.62908294999988</v>
      </c>
      <c r="L36" s="127">
        <v>0.22206592999999999</v>
      </c>
      <c r="M36" s="127">
        <v>931.10649753999985</v>
      </c>
      <c r="N36" s="127">
        <v>14.04602861</v>
      </c>
      <c r="O36" s="127">
        <v>746.35539194000012</v>
      </c>
      <c r="P36" s="127">
        <v>2.3586548299999999</v>
      </c>
      <c r="Q36" s="127">
        <v>7852.5090272500011</v>
      </c>
      <c r="R36" s="127">
        <v>270.42522850999995</v>
      </c>
      <c r="S36" s="127">
        <v>74.676198940000006</v>
      </c>
      <c r="T36" s="127">
        <v>0.18279999999999999</v>
      </c>
      <c r="U36" s="127">
        <v>2.0888799900000001</v>
      </c>
      <c r="V36" s="127">
        <v>0</v>
      </c>
      <c r="W36" s="127">
        <v>620.21419738000429</v>
      </c>
      <c r="X36" s="127">
        <v>19.802129130000012</v>
      </c>
      <c r="Y36" s="127">
        <v>10.664287759999999</v>
      </c>
      <c r="Z36" s="127">
        <v>0</v>
      </c>
      <c r="AA36" s="127">
        <v>2.5579208099999997</v>
      </c>
      <c r="AB36" s="127">
        <v>0</v>
      </c>
      <c r="AC36" s="127">
        <v>38.691770239999997</v>
      </c>
      <c r="AD36" s="127">
        <v>0</v>
      </c>
      <c r="AE36" s="127">
        <v>32.644649319999999</v>
      </c>
      <c r="AF36" s="127">
        <v>0</v>
      </c>
      <c r="AG36" s="127">
        <v>468.14402078000001</v>
      </c>
    </row>
    <row r="37" spans="1:33" x14ac:dyDescent="0.25">
      <c r="A37" s="124" t="s">
        <v>60</v>
      </c>
      <c r="B37" s="125">
        <v>16700.565043179999</v>
      </c>
      <c r="C37" s="125">
        <v>786.28199433999998</v>
      </c>
      <c r="D37" s="126">
        <f t="shared" si="1"/>
        <v>4.7081161164729188</v>
      </c>
      <c r="E37" s="127">
        <v>2859.9485050800004</v>
      </c>
      <c r="F37" s="127">
        <v>8.5783721800000006</v>
      </c>
      <c r="G37" s="127">
        <v>713.41384506999998</v>
      </c>
      <c r="H37" s="127">
        <v>20.861254200000001</v>
      </c>
      <c r="I37" s="127">
        <v>551.93139554000004</v>
      </c>
      <c r="J37" s="127">
        <v>26.665374870000001</v>
      </c>
      <c r="K37" s="127">
        <v>915.78658603000008</v>
      </c>
      <c r="L37" s="127">
        <v>0.22206592999999999</v>
      </c>
      <c r="M37" s="127">
        <v>924.56066938999993</v>
      </c>
      <c r="N37" s="127">
        <v>14.04602861</v>
      </c>
      <c r="O37" s="127">
        <v>740.65590216999999</v>
      </c>
      <c r="P37" s="127">
        <v>2.3586548299999999</v>
      </c>
      <c r="Q37" s="127">
        <v>8052.4229299699991</v>
      </c>
      <c r="R37" s="127">
        <v>270.42522850999995</v>
      </c>
      <c r="S37" s="127">
        <v>91.351472839999985</v>
      </c>
      <c r="T37" s="127">
        <v>0.18279999999999999</v>
      </c>
      <c r="U37" s="127">
        <v>2.0505073299999999</v>
      </c>
      <c r="V37" s="127">
        <v>0</v>
      </c>
      <c r="W37" s="127">
        <v>616.81755486000611</v>
      </c>
      <c r="X37" s="127">
        <v>19.802129130000012</v>
      </c>
      <c r="Y37" s="127">
        <v>7.1007471400000002</v>
      </c>
      <c r="Z37" s="127">
        <v>0</v>
      </c>
      <c r="AA37" s="127">
        <v>3.1193285900000003</v>
      </c>
      <c r="AB37" s="127">
        <v>0</v>
      </c>
      <c r="AC37" s="127">
        <v>42.417387400000003</v>
      </c>
      <c r="AD37" s="127">
        <v>0</v>
      </c>
      <c r="AE37" s="127">
        <v>29.564309170000001</v>
      </c>
      <c r="AF37" s="127">
        <v>0</v>
      </c>
      <c r="AG37" s="127">
        <v>474.33828768000001</v>
      </c>
    </row>
    <row r="38" spans="1:33" x14ac:dyDescent="0.25">
      <c r="A38" s="124" t="s">
        <v>61</v>
      </c>
      <c r="B38" s="125">
        <v>17119.816266530001</v>
      </c>
      <c r="C38" s="125">
        <v>719.44171244100028</v>
      </c>
      <c r="D38" s="126">
        <f t="shared" si="1"/>
        <v>4.2023915516403099</v>
      </c>
      <c r="E38" s="127">
        <v>2982.27763271</v>
      </c>
      <c r="F38" s="127">
        <v>10.221064380000001</v>
      </c>
      <c r="G38" s="127">
        <v>718.87065003999999</v>
      </c>
      <c r="H38" s="127">
        <v>30.155463600000001</v>
      </c>
      <c r="I38" s="127">
        <v>563.21427218000008</v>
      </c>
      <c r="J38" s="127">
        <v>28.481477079999998</v>
      </c>
      <c r="K38" s="127">
        <v>903.04608600000006</v>
      </c>
      <c r="L38" s="127">
        <v>0.14264178999999999</v>
      </c>
      <c r="M38" s="127">
        <v>960.22491318999994</v>
      </c>
      <c r="N38" s="127">
        <v>11.50845487</v>
      </c>
      <c r="O38" s="127">
        <v>733.94094086000018</v>
      </c>
      <c r="P38" s="127">
        <v>3.40064806</v>
      </c>
      <c r="Q38" s="127">
        <v>8320.5240356199993</v>
      </c>
      <c r="R38" s="127">
        <v>286.74943291900001</v>
      </c>
      <c r="S38" s="127">
        <v>90.596399309999995</v>
      </c>
      <c r="T38" s="127">
        <v>0.18279999999999999</v>
      </c>
      <c r="U38" s="127">
        <v>1.9917215699999999</v>
      </c>
      <c r="V38" s="127">
        <v>0</v>
      </c>
      <c r="W38" s="127">
        <v>617.99023107999903</v>
      </c>
      <c r="X38" s="127">
        <v>35.804449879999979</v>
      </c>
      <c r="Y38" s="127">
        <v>8.4083914000000011</v>
      </c>
      <c r="Z38" s="127">
        <v>0</v>
      </c>
      <c r="AA38" s="127">
        <v>3.6777463099999999</v>
      </c>
      <c r="AB38" s="127">
        <v>0</v>
      </c>
      <c r="AC38" s="127">
        <v>56.911928450000005</v>
      </c>
      <c r="AD38" s="127">
        <v>0</v>
      </c>
      <c r="AE38" s="127">
        <v>32.053172790000005</v>
      </c>
      <c r="AF38" s="127">
        <v>0</v>
      </c>
      <c r="AG38" s="127">
        <v>357.28922269999998</v>
      </c>
    </row>
    <row r="39" spans="1:33" x14ac:dyDescent="0.25">
      <c r="A39" s="124" t="s">
        <v>78</v>
      </c>
      <c r="B39" s="124"/>
      <c r="C39" s="124"/>
      <c r="D39" s="124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</row>
    <row r="40" spans="1:33" x14ac:dyDescent="0.25">
      <c r="A40" s="124" t="s">
        <v>50</v>
      </c>
      <c r="B40" s="125">
        <v>17242.149871199999</v>
      </c>
      <c r="C40" s="125">
        <v>706.5450646810001</v>
      </c>
      <c r="D40" s="126">
        <f t="shared" ref="D40:D49" si="2">C40/B40*100</f>
        <v>4.0977782350747356</v>
      </c>
      <c r="E40" s="127">
        <v>2960.8306106</v>
      </c>
      <c r="F40" s="127">
        <v>10.221064380000001</v>
      </c>
      <c r="G40" s="127">
        <v>707.68418763</v>
      </c>
      <c r="H40" s="127">
        <v>30.155463600000001</v>
      </c>
      <c r="I40" s="127">
        <v>567.29357872000003</v>
      </c>
      <c r="J40" s="127">
        <v>28.481477079999998</v>
      </c>
      <c r="K40" s="127">
        <v>910.22202430000004</v>
      </c>
      <c r="L40" s="127">
        <v>0.14264178999999999</v>
      </c>
      <c r="M40" s="127">
        <v>948.28755950999994</v>
      </c>
      <c r="N40" s="127">
        <v>11.50845487</v>
      </c>
      <c r="O40" s="127">
        <v>741.22516050000002</v>
      </c>
      <c r="P40" s="127">
        <v>3.40064806</v>
      </c>
      <c r="Q40" s="127">
        <v>8480.9704156700009</v>
      </c>
      <c r="R40" s="127">
        <v>286.74943291900001</v>
      </c>
      <c r="S40" s="127">
        <v>90.016935840000002</v>
      </c>
      <c r="T40" s="127">
        <v>0.18279999999999999</v>
      </c>
      <c r="U40" s="127">
        <v>1.95306146</v>
      </c>
      <c r="V40" s="127">
        <v>0</v>
      </c>
      <c r="W40" s="127">
        <v>627.47543251999991</v>
      </c>
      <c r="X40" s="127">
        <v>35.804449879999979</v>
      </c>
      <c r="Y40" s="127">
        <v>7.6883463699999997</v>
      </c>
      <c r="Z40" s="127">
        <v>0</v>
      </c>
      <c r="AA40" s="127">
        <v>4.3864337100000004</v>
      </c>
      <c r="AB40" s="127">
        <v>0</v>
      </c>
      <c r="AC40" s="127">
        <v>50.945260220000002</v>
      </c>
      <c r="AD40" s="127">
        <v>0</v>
      </c>
      <c r="AE40" s="127">
        <v>29.979366889999998</v>
      </c>
      <c r="AF40" s="127">
        <v>0</v>
      </c>
      <c r="AG40" s="127">
        <v>404.33149824999998</v>
      </c>
    </row>
    <row r="41" spans="1:33" ht="15" customHeight="1" x14ac:dyDescent="0.25">
      <c r="A41" s="124" t="s">
        <v>51</v>
      </c>
      <c r="B41" s="125">
        <v>17587.221785509999</v>
      </c>
      <c r="C41" s="125">
        <v>690.22803666099992</v>
      </c>
      <c r="D41" s="126">
        <f t="shared" si="2"/>
        <v>3.9245996046383769</v>
      </c>
      <c r="E41" s="127">
        <v>3029.3681515600001</v>
      </c>
      <c r="F41" s="127">
        <v>10.221064380000001</v>
      </c>
      <c r="G41" s="127">
        <v>689.92751550000003</v>
      </c>
      <c r="H41" s="127">
        <v>30.155463600000001</v>
      </c>
      <c r="I41" s="127">
        <v>563.14749876999997</v>
      </c>
      <c r="J41" s="127">
        <v>28.481477079999998</v>
      </c>
      <c r="K41" s="127">
        <v>985.9135400900002</v>
      </c>
      <c r="L41" s="127">
        <v>0.14264178999999999</v>
      </c>
      <c r="M41" s="127">
        <v>985.04823421000003</v>
      </c>
      <c r="N41" s="127">
        <v>11.50845487</v>
      </c>
      <c r="O41" s="127">
        <v>728.15753729000005</v>
      </c>
      <c r="P41" s="127">
        <v>3.40064806</v>
      </c>
      <c r="Q41" s="127">
        <v>8661.6781615899999</v>
      </c>
      <c r="R41" s="127">
        <v>286.74943291900001</v>
      </c>
      <c r="S41" s="127">
        <v>92.488529190000008</v>
      </c>
      <c r="T41" s="127">
        <v>0.18279999999999999</v>
      </c>
      <c r="U41" s="127">
        <v>1.95306146</v>
      </c>
      <c r="V41" s="127">
        <v>0</v>
      </c>
      <c r="W41" s="127">
        <v>643.79415081999889</v>
      </c>
      <c r="X41" s="127">
        <v>35.804449879999979</v>
      </c>
      <c r="Y41" s="127">
        <v>25.085493190000001</v>
      </c>
      <c r="Z41" s="127">
        <v>0</v>
      </c>
      <c r="AA41" s="127">
        <v>4.2741885100000001</v>
      </c>
      <c r="AB41" s="127">
        <v>0</v>
      </c>
      <c r="AC41" s="127">
        <v>48.159196620000003</v>
      </c>
      <c r="AD41" s="127">
        <v>0</v>
      </c>
      <c r="AE41" s="127">
        <v>31.352057470000005</v>
      </c>
      <c r="AF41" s="127">
        <v>0</v>
      </c>
      <c r="AG41" s="127">
        <v>501.75617211000002</v>
      </c>
    </row>
    <row r="42" spans="1:33" ht="15" customHeight="1" x14ac:dyDescent="0.25">
      <c r="A42" s="124" t="s">
        <v>52</v>
      </c>
      <c r="B42" s="125">
        <v>18007.769891450997</v>
      </c>
      <c r="C42" s="125">
        <v>685.18649990099982</v>
      </c>
      <c r="D42" s="126">
        <f t="shared" si="2"/>
        <v>3.8049492193160748</v>
      </c>
      <c r="E42" s="127">
        <v>3069.5291242100002</v>
      </c>
      <c r="F42" s="127">
        <v>10.905675650000001</v>
      </c>
      <c r="G42" s="127">
        <v>694.58685251999998</v>
      </c>
      <c r="H42" s="127">
        <v>34.172563600000004</v>
      </c>
      <c r="I42" s="127">
        <v>572.11871544999985</v>
      </c>
      <c r="J42" s="127">
        <v>25.356062120000001</v>
      </c>
      <c r="K42" s="127">
        <v>1008.85695302</v>
      </c>
      <c r="L42" s="127">
        <v>0.57942300999999996</v>
      </c>
      <c r="M42" s="127">
        <v>1004.56486473</v>
      </c>
      <c r="N42" s="127">
        <v>11.781332059999999</v>
      </c>
      <c r="O42" s="127">
        <v>734.21636339999998</v>
      </c>
      <c r="P42" s="127">
        <v>3.3693554999999997</v>
      </c>
      <c r="Q42" s="127">
        <v>8961.90120785</v>
      </c>
      <c r="R42" s="127">
        <v>300.92743854999998</v>
      </c>
      <c r="S42" s="127">
        <v>85.615850129999998</v>
      </c>
      <c r="T42" s="127">
        <v>0.17280000000000001</v>
      </c>
      <c r="U42" s="127">
        <v>1.9190493500000001</v>
      </c>
      <c r="V42" s="127">
        <v>0</v>
      </c>
      <c r="W42" s="127">
        <v>657.65911172999745</v>
      </c>
      <c r="X42" s="127">
        <v>38.165659129999987</v>
      </c>
      <c r="Y42" s="127">
        <v>29.572471480000001</v>
      </c>
      <c r="Z42" s="127">
        <v>0</v>
      </c>
      <c r="AA42" s="127">
        <v>4.5490465200000001</v>
      </c>
      <c r="AB42" s="127">
        <v>0</v>
      </c>
      <c r="AC42" s="127">
        <v>41.391453429999999</v>
      </c>
      <c r="AD42" s="127">
        <v>0</v>
      </c>
      <c r="AE42" s="127">
        <v>30.672018110000003</v>
      </c>
      <c r="AF42" s="127">
        <v>0</v>
      </c>
      <c r="AG42" s="127">
        <v>408.66366932</v>
      </c>
    </row>
    <row r="43" spans="1:33" ht="15" customHeight="1" x14ac:dyDescent="0.25">
      <c r="A43" s="124" t="s">
        <v>53</v>
      </c>
      <c r="B43" s="125">
        <v>18319.964781931001</v>
      </c>
      <c r="C43" s="125">
        <v>674.7774830410001</v>
      </c>
      <c r="D43" s="126">
        <f t="shared" si="2"/>
        <v>3.6832902850694</v>
      </c>
      <c r="E43" s="127">
        <v>3126.6944463600003</v>
      </c>
      <c r="F43" s="127">
        <v>10.905675650000001</v>
      </c>
      <c r="G43" s="127">
        <v>690.44424623000009</v>
      </c>
      <c r="H43" s="127">
        <v>34.172563600000004</v>
      </c>
      <c r="I43" s="127">
        <v>567.49188975000004</v>
      </c>
      <c r="J43" s="127">
        <v>25.356062120000001</v>
      </c>
      <c r="K43" s="127">
        <v>1069.1928002</v>
      </c>
      <c r="L43" s="127">
        <v>0.57942300999999996</v>
      </c>
      <c r="M43" s="127">
        <v>1013.2900403299999</v>
      </c>
      <c r="N43" s="127">
        <v>11.781332059999999</v>
      </c>
      <c r="O43" s="127">
        <v>739.3187621300001</v>
      </c>
      <c r="P43" s="127">
        <v>3.3693554999999997</v>
      </c>
      <c r="Q43" s="127">
        <v>9159.7569552000004</v>
      </c>
      <c r="R43" s="127">
        <v>300.92743854999998</v>
      </c>
      <c r="S43" s="127">
        <v>94.418288130000008</v>
      </c>
      <c r="T43" s="127">
        <v>0.17280000000000001</v>
      </c>
      <c r="U43" s="127">
        <v>1.8355293099999999</v>
      </c>
      <c r="V43" s="127">
        <v>0</v>
      </c>
      <c r="W43" s="127">
        <v>649.45494428000109</v>
      </c>
      <c r="X43" s="127">
        <v>38.165659129999987</v>
      </c>
      <c r="Y43" s="127">
        <v>30.977582609999999</v>
      </c>
      <c r="Z43" s="127">
        <v>0</v>
      </c>
      <c r="AA43" s="127">
        <v>3.94607128</v>
      </c>
      <c r="AB43" s="127">
        <v>0</v>
      </c>
      <c r="AC43" s="127">
        <v>43.012501450000002</v>
      </c>
      <c r="AD43" s="127">
        <v>0</v>
      </c>
      <c r="AE43" s="127">
        <v>29.922932009999997</v>
      </c>
      <c r="AF43" s="127">
        <v>0</v>
      </c>
      <c r="AG43" s="127">
        <v>368.50278687000002</v>
      </c>
    </row>
    <row r="44" spans="1:33" ht="15" customHeight="1" x14ac:dyDescent="0.25">
      <c r="A44" s="124" t="s">
        <v>54</v>
      </c>
      <c r="B44" s="125">
        <v>18577.875236770997</v>
      </c>
      <c r="C44" s="125">
        <v>673.7364159409999</v>
      </c>
      <c r="D44" s="126">
        <f t="shared" si="2"/>
        <v>3.6265525920180597</v>
      </c>
      <c r="E44" s="127">
        <v>3130.2660092400001</v>
      </c>
      <c r="F44" s="127">
        <v>10.905675650000001</v>
      </c>
      <c r="G44" s="127">
        <v>678.71154195999998</v>
      </c>
      <c r="H44" s="127">
        <v>34.172563600000004</v>
      </c>
      <c r="I44" s="127">
        <v>572.2245125500001</v>
      </c>
      <c r="J44" s="127">
        <v>25.356062120000001</v>
      </c>
      <c r="K44" s="127">
        <v>1095.1174711200001</v>
      </c>
      <c r="L44" s="127">
        <v>0.57942300999999996</v>
      </c>
      <c r="M44" s="127">
        <v>981.09731834000002</v>
      </c>
      <c r="N44" s="127">
        <v>11.781332059999999</v>
      </c>
      <c r="O44" s="127">
        <v>758.37285073999999</v>
      </c>
      <c r="P44" s="127">
        <v>3.3693554999999997</v>
      </c>
      <c r="Q44" s="127">
        <v>9382.4405607000008</v>
      </c>
      <c r="R44" s="127">
        <v>300.92743854999998</v>
      </c>
      <c r="S44" s="127">
        <v>94.123444239999998</v>
      </c>
      <c r="T44" s="127">
        <v>0.17280000000000001</v>
      </c>
      <c r="U44" s="127">
        <v>1.8355293099999999</v>
      </c>
      <c r="V44" s="127">
        <v>0</v>
      </c>
      <c r="W44" s="127">
        <v>678.7666159900001</v>
      </c>
      <c r="X44" s="127">
        <v>38.165659129999987</v>
      </c>
      <c r="Y44" s="127">
        <v>12.740430310000001</v>
      </c>
      <c r="Z44" s="127">
        <v>0</v>
      </c>
      <c r="AA44" s="127">
        <v>3.33646288</v>
      </c>
      <c r="AB44" s="127">
        <v>0</v>
      </c>
      <c r="AC44" s="127">
        <v>42.478322670000004</v>
      </c>
      <c r="AD44" s="127">
        <v>0</v>
      </c>
      <c r="AE44" s="127">
        <v>47.197441159999997</v>
      </c>
      <c r="AF44" s="127">
        <v>0</v>
      </c>
      <c r="AG44" s="127">
        <v>399.49298209</v>
      </c>
    </row>
    <row r="45" spans="1:33" ht="15" customHeight="1" x14ac:dyDescent="0.25">
      <c r="A45" s="124" t="s">
        <v>55</v>
      </c>
      <c r="B45" s="125">
        <v>18818.200924164597</v>
      </c>
      <c r="C45" s="125">
        <v>661.21798656500005</v>
      </c>
      <c r="D45" s="126">
        <f t="shared" si="2"/>
        <v>3.5137152017328339</v>
      </c>
      <c r="E45" s="127">
        <v>3141.3452931399997</v>
      </c>
      <c r="F45" s="127">
        <v>9.2472452500000006</v>
      </c>
      <c r="G45" s="127">
        <v>661.80971821000003</v>
      </c>
      <c r="H45" s="127">
        <v>34.172563599999997</v>
      </c>
      <c r="I45" s="127">
        <v>571.59913632000007</v>
      </c>
      <c r="J45" s="127">
        <v>25.708327740000001</v>
      </c>
      <c r="K45" s="127">
        <v>1181.9055758</v>
      </c>
      <c r="L45" s="127">
        <v>0.94145000999999995</v>
      </c>
      <c r="M45" s="127">
        <v>980.58902658</v>
      </c>
      <c r="N45" s="127">
        <v>10.484738980000001</v>
      </c>
      <c r="O45" s="127">
        <v>770.25907811999991</v>
      </c>
      <c r="P45" s="127">
        <v>3.6655512400000001</v>
      </c>
      <c r="Q45" s="127">
        <v>9603.0551213800009</v>
      </c>
      <c r="R45" s="127">
        <v>318.85189135959996</v>
      </c>
      <c r="S45" s="127">
        <v>102.05150716</v>
      </c>
      <c r="T45" s="127">
        <v>0.1653</v>
      </c>
      <c r="U45" s="127">
        <v>1.7781839700000002</v>
      </c>
      <c r="V45" s="127">
        <v>0</v>
      </c>
      <c r="W45" s="127">
        <v>582.93200697999896</v>
      </c>
      <c r="X45" s="127">
        <v>41.068734280000079</v>
      </c>
      <c r="Y45" s="127">
        <v>19.576412949999998</v>
      </c>
      <c r="Z45" s="127">
        <v>0</v>
      </c>
      <c r="AA45" s="127">
        <v>3.4066838700000002</v>
      </c>
      <c r="AB45" s="127">
        <v>0</v>
      </c>
      <c r="AC45" s="127">
        <v>45.474320989999995</v>
      </c>
      <c r="AD45" s="127">
        <v>1.1644366399999999</v>
      </c>
      <c r="AE45" s="127">
        <v>45.730633029999993</v>
      </c>
      <c r="AF45" s="127">
        <v>0</v>
      </c>
      <c r="AG45" s="127">
        <v>387.19033960000002</v>
      </c>
    </row>
    <row r="46" spans="1:33" ht="15" customHeight="1" x14ac:dyDescent="0.25">
      <c r="A46" s="124" t="s">
        <v>56</v>
      </c>
      <c r="B46" s="125">
        <v>18985.634951354594</v>
      </c>
      <c r="C46" s="125">
        <v>662.33321448499987</v>
      </c>
      <c r="D46" s="126">
        <f t="shared" si="2"/>
        <v>3.4886018623135042</v>
      </c>
      <c r="E46" s="127">
        <v>3106.4631285100004</v>
      </c>
      <c r="F46" s="127">
        <v>9.2472452500000006</v>
      </c>
      <c r="G46" s="127">
        <v>606.83484245</v>
      </c>
      <c r="H46" s="127">
        <v>34.172563599999997</v>
      </c>
      <c r="I46" s="127">
        <v>571.21172114000001</v>
      </c>
      <c r="J46" s="127">
        <v>25.708327740000001</v>
      </c>
      <c r="K46" s="127">
        <v>1202.1347719400001</v>
      </c>
      <c r="L46" s="127">
        <v>0.94145000999999995</v>
      </c>
      <c r="M46" s="127">
        <v>1037.67454316</v>
      </c>
      <c r="N46" s="127">
        <v>10.484738980000001</v>
      </c>
      <c r="O46" s="127">
        <v>778.42155815000001</v>
      </c>
      <c r="P46" s="127">
        <v>3.6655512400000001</v>
      </c>
      <c r="Q46" s="127">
        <v>9789.8246620699974</v>
      </c>
      <c r="R46" s="127">
        <v>318.85189135959996</v>
      </c>
      <c r="S46" s="127">
        <v>103.51947823</v>
      </c>
      <c r="T46" s="127">
        <v>0.1653</v>
      </c>
      <c r="U46" s="127">
        <v>1.6690754600000002</v>
      </c>
      <c r="V46" s="127">
        <v>0</v>
      </c>
      <c r="W46" s="127">
        <v>574.28495352999903</v>
      </c>
      <c r="X46" s="127">
        <v>41.068734280000079</v>
      </c>
      <c r="Y46" s="127">
        <v>17.974159960000001</v>
      </c>
      <c r="Z46" s="127">
        <v>0</v>
      </c>
      <c r="AA46" s="127">
        <v>3.3428964900000002</v>
      </c>
      <c r="AB46" s="127">
        <v>0</v>
      </c>
      <c r="AC46" s="127">
        <v>47.760477650000006</v>
      </c>
      <c r="AD46" s="127">
        <v>1.1644366399999999</v>
      </c>
      <c r="AE46" s="127">
        <v>36.715229030000003</v>
      </c>
      <c r="AF46" s="127">
        <v>0</v>
      </c>
      <c r="AG46" s="127">
        <v>386.11756955999999</v>
      </c>
    </row>
    <row r="47" spans="1:33" ht="15" customHeight="1" x14ac:dyDescent="0.25">
      <c r="A47" s="124" t="s">
        <v>57</v>
      </c>
      <c r="B47" s="125">
        <v>19136.822267444604</v>
      </c>
      <c r="C47" s="125">
        <v>659.66022400499992</v>
      </c>
      <c r="D47" s="126">
        <f t="shared" si="2"/>
        <v>3.4470729507019988</v>
      </c>
      <c r="E47" s="127">
        <v>3122.5418065899999</v>
      </c>
      <c r="F47" s="127">
        <v>9.2472452500000006</v>
      </c>
      <c r="G47" s="127">
        <v>574.74920330999998</v>
      </c>
      <c r="H47" s="127">
        <v>34.172563599999997</v>
      </c>
      <c r="I47" s="127">
        <v>573.13765513999999</v>
      </c>
      <c r="J47" s="127">
        <v>25.708327740000001</v>
      </c>
      <c r="K47" s="127">
        <v>1191.5845493500001</v>
      </c>
      <c r="L47" s="127">
        <v>0.94145000999999995</v>
      </c>
      <c r="M47" s="127">
        <v>1061.3058686600002</v>
      </c>
      <c r="N47" s="127">
        <v>10.484738980000001</v>
      </c>
      <c r="O47" s="127">
        <v>755.42052295999997</v>
      </c>
      <c r="P47" s="127">
        <v>3.6655512400000001</v>
      </c>
      <c r="Q47" s="127">
        <v>10009.314863070002</v>
      </c>
      <c r="R47" s="127">
        <v>318.85189135959996</v>
      </c>
      <c r="S47" s="127">
        <v>51.136333960000002</v>
      </c>
      <c r="T47" s="127">
        <v>0.1653</v>
      </c>
      <c r="U47" s="127">
        <v>1.6189657100000001</v>
      </c>
      <c r="V47" s="127">
        <v>0</v>
      </c>
      <c r="W47" s="127">
        <v>594.79696808999847</v>
      </c>
      <c r="X47" s="127">
        <v>41.068734280000079</v>
      </c>
      <c r="Y47" s="127">
        <v>16.119905150000001</v>
      </c>
      <c r="Z47" s="127">
        <v>0</v>
      </c>
      <c r="AA47" s="127">
        <v>2.9635350900000001</v>
      </c>
      <c r="AB47" s="127">
        <v>0</v>
      </c>
      <c r="AC47" s="127">
        <v>43.59604058</v>
      </c>
      <c r="AD47" s="127">
        <v>1.1644366399999999</v>
      </c>
      <c r="AE47" s="127">
        <v>33.405586679999999</v>
      </c>
      <c r="AF47" s="127">
        <v>0</v>
      </c>
      <c r="AG47" s="127">
        <v>396.32416848999998</v>
      </c>
    </row>
    <row r="48" spans="1:33" ht="15" customHeight="1" x14ac:dyDescent="0.25">
      <c r="A48" s="124" t="s">
        <v>58</v>
      </c>
      <c r="B48" s="125">
        <v>19701.683635566002</v>
      </c>
      <c r="C48" s="125">
        <v>649.54999275199998</v>
      </c>
      <c r="D48" s="126">
        <f t="shared" si="2"/>
        <v>3.2969263174006871</v>
      </c>
      <c r="E48" s="127">
        <v>3194.685129</v>
      </c>
      <c r="F48" s="127">
        <v>8.1102411799999992</v>
      </c>
      <c r="G48" s="127">
        <v>602.46409550999999</v>
      </c>
      <c r="H48" s="127">
        <v>34.172563600000004</v>
      </c>
      <c r="I48" s="127">
        <v>591.77428609000003</v>
      </c>
      <c r="J48" s="127">
        <v>26.425179449999998</v>
      </c>
      <c r="K48" s="127">
        <v>1240.53652147</v>
      </c>
      <c r="L48" s="127">
        <v>0.91141516</v>
      </c>
      <c r="M48" s="127">
        <v>1057.6198145200001</v>
      </c>
      <c r="N48" s="127">
        <v>10.50814787</v>
      </c>
      <c r="O48" s="127">
        <v>789.14396804</v>
      </c>
      <c r="P48" s="127">
        <v>3.7018644800000002</v>
      </c>
      <c r="Q48" s="127">
        <v>10343.172838570001</v>
      </c>
      <c r="R48" s="127">
        <v>365.40066774399997</v>
      </c>
      <c r="S48" s="127">
        <v>44.954035770000004</v>
      </c>
      <c r="T48" s="127">
        <v>0.1653</v>
      </c>
      <c r="U48" s="127">
        <v>1.55036112</v>
      </c>
      <c r="V48" s="127">
        <v>0</v>
      </c>
      <c r="W48" s="127">
        <v>583.94294115000002</v>
      </c>
      <c r="X48" s="127">
        <v>43.142905089999999</v>
      </c>
      <c r="Y48" s="127">
        <v>18.844386230000001</v>
      </c>
      <c r="Z48" s="127">
        <v>0</v>
      </c>
      <c r="AA48" s="127">
        <v>10.19534859</v>
      </c>
      <c r="AB48" s="127">
        <v>0</v>
      </c>
      <c r="AC48" s="127">
        <v>45.510371579999997</v>
      </c>
      <c r="AD48" s="127">
        <v>0.76020041000000005</v>
      </c>
      <c r="AE48" s="127">
        <v>34.441060190000002</v>
      </c>
      <c r="AF48" s="127">
        <v>0</v>
      </c>
      <c r="AG48" s="127">
        <v>435.90259455</v>
      </c>
    </row>
    <row r="49" spans="1:33" ht="15" customHeight="1" x14ac:dyDescent="0.25">
      <c r="A49" s="124" t="s">
        <v>59</v>
      </c>
      <c r="B49" s="125">
        <v>20015.293326605999</v>
      </c>
      <c r="C49" s="125">
        <v>646.04418552200002</v>
      </c>
      <c r="D49" s="126">
        <f t="shared" si="2"/>
        <v>3.227752773741388</v>
      </c>
      <c r="E49" s="127">
        <v>3262.3167929399997</v>
      </c>
      <c r="F49" s="127">
        <v>8.1102411799999992</v>
      </c>
      <c r="G49" s="127">
        <v>625.89423504000001</v>
      </c>
      <c r="H49" s="127">
        <v>34.172563600000004</v>
      </c>
      <c r="I49" s="127">
        <v>597.12625885</v>
      </c>
      <c r="J49" s="127">
        <v>26.425179449999998</v>
      </c>
      <c r="K49" s="127">
        <v>1180.68608058</v>
      </c>
      <c r="L49" s="127">
        <v>0.91141516</v>
      </c>
      <c r="M49" s="127">
        <v>1068.7433036300001</v>
      </c>
      <c r="N49" s="127">
        <v>10.50814787</v>
      </c>
      <c r="O49" s="127">
        <v>794.39277890000005</v>
      </c>
      <c r="P49" s="127">
        <v>3.7018644800000002</v>
      </c>
      <c r="Q49" s="127">
        <v>10584.53099259</v>
      </c>
      <c r="R49" s="127">
        <v>365.40066774399997</v>
      </c>
      <c r="S49" s="127">
        <v>39.653100860000002</v>
      </c>
      <c r="T49" s="127">
        <v>0.1653</v>
      </c>
      <c r="U49" s="127">
        <v>1.4508957999999998</v>
      </c>
      <c r="V49" s="127">
        <v>0</v>
      </c>
      <c r="W49" s="127">
        <v>616.79554154999994</v>
      </c>
      <c r="X49" s="127">
        <v>43.142905089999999</v>
      </c>
      <c r="Y49" s="127">
        <v>16.342343849999999</v>
      </c>
      <c r="Z49" s="127">
        <v>0</v>
      </c>
      <c r="AA49" s="127">
        <v>9.9599876599999995</v>
      </c>
      <c r="AB49" s="127">
        <v>0</v>
      </c>
      <c r="AC49" s="127">
        <v>44.104648169999997</v>
      </c>
      <c r="AD49" s="127">
        <v>0.76020041000000005</v>
      </c>
      <c r="AE49" s="127">
        <v>33.953695679999996</v>
      </c>
      <c r="AF49" s="127">
        <v>0</v>
      </c>
      <c r="AG49" s="127">
        <v>505.93548070999998</v>
      </c>
    </row>
    <row r="50" spans="1:33" ht="15" customHeight="1" x14ac:dyDescent="0.25">
      <c r="A50" s="124" t="s">
        <v>60</v>
      </c>
      <c r="B50" s="125">
        <v>20218.690699965999</v>
      </c>
      <c r="C50" s="125">
        <v>641.27898531200003</v>
      </c>
      <c r="D50" s="126">
        <v>3.1717137119718561</v>
      </c>
      <c r="E50" s="127">
        <v>3332.2321433699999</v>
      </c>
      <c r="F50" s="127">
        <v>8.1102411799999992</v>
      </c>
      <c r="G50" s="127">
        <v>623.97471341999994</v>
      </c>
      <c r="H50" s="127">
        <v>34.172563600000004</v>
      </c>
      <c r="I50" s="127">
        <v>595.89892781000003</v>
      </c>
      <c r="J50" s="127">
        <v>26.425179449999998</v>
      </c>
      <c r="K50" s="127">
        <v>1140.6713948199999</v>
      </c>
      <c r="L50" s="127">
        <v>0.91141516</v>
      </c>
      <c r="M50" s="127">
        <v>1052.0862463799999</v>
      </c>
      <c r="N50" s="127">
        <v>10.50814787</v>
      </c>
      <c r="O50" s="127">
        <v>797.74826809000001</v>
      </c>
      <c r="P50" s="127">
        <v>3.7018644800000002</v>
      </c>
      <c r="Q50" s="127">
        <v>10769.64167906</v>
      </c>
      <c r="R50" s="127">
        <v>365.40066774399997</v>
      </c>
      <c r="S50" s="127">
        <v>42.660944639999997</v>
      </c>
      <c r="T50" s="127">
        <v>0.1653</v>
      </c>
      <c r="U50" s="127">
        <v>1.3731461600000001</v>
      </c>
      <c r="V50" s="127">
        <v>0</v>
      </c>
      <c r="W50" s="127">
        <v>626.87957110000002</v>
      </c>
      <c r="X50" s="127">
        <v>43.142905089999999</v>
      </c>
      <c r="Y50" s="127">
        <v>14.977643390000001</v>
      </c>
      <c r="Z50" s="127">
        <v>0</v>
      </c>
      <c r="AA50" s="127">
        <v>9.4026232400000005</v>
      </c>
      <c r="AB50" s="127">
        <v>0</v>
      </c>
      <c r="AC50" s="127">
        <v>40.997581420000003</v>
      </c>
      <c r="AD50" s="127">
        <v>0.76020041000000005</v>
      </c>
      <c r="AE50" s="127">
        <v>35.568346769999998</v>
      </c>
      <c r="AF50" s="127">
        <v>0</v>
      </c>
      <c r="AG50" s="127">
        <v>557.58788519999996</v>
      </c>
    </row>
    <row r="51" spans="1:33" ht="15" customHeight="1" x14ac:dyDescent="0.25">
      <c r="A51" s="124" t="s">
        <v>61</v>
      </c>
      <c r="B51" s="125">
        <v>20183.981847880001</v>
      </c>
      <c r="C51" s="125">
        <v>593.74010189999967</v>
      </c>
      <c r="D51" s="126">
        <v>2.9416400905174336</v>
      </c>
      <c r="E51" s="127">
        <v>3293.3505839399995</v>
      </c>
      <c r="F51" s="127">
        <v>9.6084185099999999</v>
      </c>
      <c r="G51" s="127">
        <v>616.53799353999989</v>
      </c>
      <c r="H51" s="127">
        <v>33.322665600000001</v>
      </c>
      <c r="I51" s="127">
        <v>583.66742675000012</v>
      </c>
      <c r="J51" s="127">
        <v>45.418876850000004</v>
      </c>
      <c r="K51" s="127">
        <v>1096.1061527500001</v>
      </c>
      <c r="L51" s="127">
        <v>1.27359847</v>
      </c>
      <c r="M51" s="127">
        <v>1048.8211127999998</v>
      </c>
      <c r="N51" s="127">
        <v>10.964478569999999</v>
      </c>
      <c r="O51" s="127">
        <v>788.56792967000001</v>
      </c>
      <c r="P51" s="127">
        <v>4.1013922300000001</v>
      </c>
      <c r="Q51" s="127">
        <v>10889.74969981</v>
      </c>
      <c r="R51" s="127">
        <v>383.32907554999997</v>
      </c>
      <c r="S51" s="127">
        <v>11.257418770000001</v>
      </c>
      <c r="T51" s="127">
        <v>0.18029999999999999</v>
      </c>
      <c r="U51" s="127">
        <v>1.2991616400000001</v>
      </c>
      <c r="V51" s="127">
        <v>0</v>
      </c>
      <c r="W51" s="127">
        <v>627.77080505999993</v>
      </c>
      <c r="X51" s="127">
        <v>49.57481507</v>
      </c>
      <c r="Y51" s="127">
        <v>12.71684417</v>
      </c>
      <c r="Z51" s="127">
        <v>0</v>
      </c>
      <c r="AA51" s="127">
        <v>9.3437897399999983</v>
      </c>
      <c r="AB51" s="127">
        <v>0</v>
      </c>
      <c r="AC51" s="127">
        <v>40.150053489999998</v>
      </c>
      <c r="AD51" s="127">
        <v>1.0802961100000001</v>
      </c>
      <c r="AE51" s="127">
        <v>32.048856890000003</v>
      </c>
      <c r="AF51" s="127">
        <v>0</v>
      </c>
      <c r="AG51" s="127">
        <v>478.84730696000003</v>
      </c>
    </row>
    <row r="52" spans="1:33" ht="15" customHeight="1" x14ac:dyDescent="0.25">
      <c r="A52" s="124" t="s">
        <v>79</v>
      </c>
      <c r="B52" s="125"/>
      <c r="C52" s="125"/>
      <c r="D52" s="126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</row>
    <row r="53" spans="1:33" ht="15" customHeight="1" x14ac:dyDescent="0.25">
      <c r="A53" s="124" t="s">
        <v>50</v>
      </c>
      <c r="B53" s="125">
        <v>20259.212448210001</v>
      </c>
      <c r="C53" s="125">
        <v>583.77188913999998</v>
      </c>
      <c r="D53" s="126">
        <f t="shared" ref="D53:D64" si="3">C53/B53*100</f>
        <v>2.8815132406175001</v>
      </c>
      <c r="E53" s="127">
        <v>3237.8077507999997</v>
      </c>
      <c r="F53" s="127">
        <v>9.6084185099999999</v>
      </c>
      <c r="G53" s="127">
        <v>602.57609599</v>
      </c>
      <c r="H53" s="127">
        <v>33.322665600000001</v>
      </c>
      <c r="I53" s="127">
        <v>571.67550279</v>
      </c>
      <c r="J53" s="127">
        <v>45.418876850000004</v>
      </c>
      <c r="K53" s="127">
        <v>1109.8847605699998</v>
      </c>
      <c r="L53" s="127">
        <v>1.27359847</v>
      </c>
      <c r="M53" s="127">
        <v>1064.04884924</v>
      </c>
      <c r="N53" s="127">
        <v>10.964478569999999</v>
      </c>
      <c r="O53" s="127">
        <v>781.41484682000009</v>
      </c>
      <c r="P53" s="127">
        <v>4.1013922300000001</v>
      </c>
      <c r="Q53" s="127">
        <v>11023.7346657</v>
      </c>
      <c r="R53" s="127">
        <v>383.32907554999997</v>
      </c>
      <c r="S53" s="127">
        <v>10.611536660000001</v>
      </c>
      <c r="T53" s="127">
        <v>0.18029999999999999</v>
      </c>
      <c r="U53" s="127">
        <v>1.26489838</v>
      </c>
      <c r="V53" s="127">
        <v>0</v>
      </c>
      <c r="W53" s="127">
        <v>642.86837766000008</v>
      </c>
      <c r="X53" s="127">
        <v>49.57481507</v>
      </c>
      <c r="Y53" s="127">
        <v>16.94554686</v>
      </c>
      <c r="Z53" s="127">
        <v>0</v>
      </c>
      <c r="AA53" s="127">
        <v>8.3574958899999992</v>
      </c>
      <c r="AB53" s="127">
        <v>0</v>
      </c>
      <c r="AC53" s="127">
        <v>35.67089833</v>
      </c>
      <c r="AD53" s="127">
        <v>1.0802961100000001</v>
      </c>
      <c r="AE53" s="127">
        <v>29.725416419999995</v>
      </c>
      <c r="AF53" s="127">
        <v>0</v>
      </c>
      <c r="AG53" s="127">
        <v>583.94934007999996</v>
      </c>
    </row>
    <row r="54" spans="1:33" ht="15" customHeight="1" x14ac:dyDescent="0.25">
      <c r="A54" s="124" t="s">
        <v>51</v>
      </c>
      <c r="B54" s="125">
        <v>20347.050737610003</v>
      </c>
      <c r="C54" s="125">
        <v>606.13546266000003</v>
      </c>
      <c r="D54" s="126">
        <f t="shared" si="3"/>
        <v>2.9789843770311335</v>
      </c>
      <c r="E54" s="127">
        <v>3233.9765252699999</v>
      </c>
      <c r="F54" s="127">
        <v>9.6084185099999999</v>
      </c>
      <c r="G54" s="127">
        <v>611.09478416999991</v>
      </c>
      <c r="H54" s="127">
        <v>33.322665600000001</v>
      </c>
      <c r="I54" s="127">
        <v>572.88910669000006</v>
      </c>
      <c r="J54" s="127">
        <v>45.418876850000004</v>
      </c>
      <c r="K54" s="127">
        <v>1063.7103192499999</v>
      </c>
      <c r="L54" s="127">
        <v>1.27359847</v>
      </c>
      <c r="M54" s="127">
        <v>1064.9589326600001</v>
      </c>
      <c r="N54" s="127">
        <v>10.964478569999999</v>
      </c>
      <c r="O54" s="127">
        <v>766.25506600999995</v>
      </c>
      <c r="P54" s="127">
        <v>4.1013922300000001</v>
      </c>
      <c r="Q54" s="127">
        <v>11165.142844410002</v>
      </c>
      <c r="R54" s="127">
        <v>383.32907554999997</v>
      </c>
      <c r="S54" s="127">
        <v>9.3546035100000005</v>
      </c>
      <c r="T54" s="127">
        <v>0.18029999999999999</v>
      </c>
      <c r="U54" s="127">
        <v>1.29116666</v>
      </c>
      <c r="V54" s="127">
        <v>0</v>
      </c>
      <c r="W54" s="127">
        <v>619.39690105999989</v>
      </c>
      <c r="X54" s="127">
        <v>49.57481507</v>
      </c>
      <c r="Y54" s="127">
        <v>17.696519609999999</v>
      </c>
      <c r="Z54" s="127">
        <v>0</v>
      </c>
      <c r="AA54" s="127">
        <v>8.277970289999999</v>
      </c>
      <c r="AB54" s="127">
        <v>0</v>
      </c>
      <c r="AC54" s="127">
        <v>34.346771109999999</v>
      </c>
      <c r="AD54" s="127">
        <v>1.0802961100000001</v>
      </c>
      <c r="AE54" s="127">
        <v>33.66984729</v>
      </c>
      <c r="AF54" s="127">
        <v>0</v>
      </c>
      <c r="AG54" s="127">
        <v>483.48919921999999</v>
      </c>
    </row>
    <row r="55" spans="1:33" ht="15" customHeight="1" x14ac:dyDescent="0.25">
      <c r="A55" s="124" t="s">
        <v>52</v>
      </c>
      <c r="B55" s="125">
        <v>20664.848433421801</v>
      </c>
      <c r="C55" s="125">
        <v>590.48680544000013</v>
      </c>
      <c r="D55" s="126">
        <f t="shared" si="3"/>
        <v>2.8574456151586882</v>
      </c>
      <c r="E55" s="127">
        <v>3284.0716008599998</v>
      </c>
      <c r="F55" s="127">
        <v>12.811469809999998</v>
      </c>
      <c r="G55" s="127">
        <v>634.06538096000008</v>
      </c>
      <c r="H55" s="127">
        <v>36.5946675</v>
      </c>
      <c r="I55" s="127">
        <v>527.62397953999994</v>
      </c>
      <c r="J55" s="127">
        <v>44.699419590000005</v>
      </c>
      <c r="K55" s="127">
        <v>1056.03426208</v>
      </c>
      <c r="L55" s="127">
        <v>0.88181993999999997</v>
      </c>
      <c r="M55" s="127">
        <v>1077.43719143</v>
      </c>
      <c r="N55" s="127">
        <v>14.49952876</v>
      </c>
      <c r="O55" s="127">
        <v>796.96831259999988</v>
      </c>
      <c r="P55" s="127">
        <v>4.0020910000000001</v>
      </c>
      <c r="Q55" s="127">
        <v>11377.76447181</v>
      </c>
      <c r="R55" s="127">
        <v>406.86345791181901</v>
      </c>
      <c r="S55" s="127">
        <v>9.5150901699999988</v>
      </c>
      <c r="T55" s="127">
        <v>0</v>
      </c>
      <c r="U55" s="127">
        <v>1.2545707900000003</v>
      </c>
      <c r="V55" s="127">
        <v>0</v>
      </c>
      <c r="W55" s="127">
        <v>642.17361158000006</v>
      </c>
      <c r="X55" s="127">
        <v>52.067696839999996</v>
      </c>
      <c r="Y55" s="127">
        <v>11.73787692</v>
      </c>
      <c r="Z55" s="127">
        <v>0</v>
      </c>
      <c r="AA55" s="127">
        <v>7.5874155999999999</v>
      </c>
      <c r="AB55" s="127">
        <v>0</v>
      </c>
      <c r="AC55" s="127">
        <v>41.960857449999999</v>
      </c>
      <c r="AD55" s="127">
        <v>1.0961894099999998</v>
      </c>
      <c r="AE55" s="127">
        <v>32.650665430000004</v>
      </c>
      <c r="AF55" s="127">
        <v>0</v>
      </c>
      <c r="AG55" s="127">
        <v>467.39142919000005</v>
      </c>
    </row>
    <row r="56" spans="1:33" ht="15" customHeight="1" x14ac:dyDescent="0.25">
      <c r="A56" s="124" t="s">
        <v>53</v>
      </c>
      <c r="B56" s="125">
        <v>21005.880584801798</v>
      </c>
      <c r="C56" s="125">
        <v>591.79680065000002</v>
      </c>
      <c r="D56" s="126">
        <f t="shared" si="3"/>
        <v>2.8172910831368698</v>
      </c>
      <c r="E56" s="127">
        <v>3329.8905477400003</v>
      </c>
      <c r="F56" s="127">
        <v>12.811469809999998</v>
      </c>
      <c r="G56" s="127">
        <v>640.03991277</v>
      </c>
      <c r="H56" s="127">
        <v>36.5946675</v>
      </c>
      <c r="I56" s="127">
        <v>500.78854519000004</v>
      </c>
      <c r="J56" s="127">
        <v>44.699419590000005</v>
      </c>
      <c r="K56" s="127">
        <v>1070.94071188</v>
      </c>
      <c r="L56" s="127">
        <v>0.88181993999999997</v>
      </c>
      <c r="M56" s="127">
        <v>1050.6385203300001</v>
      </c>
      <c r="N56" s="127">
        <v>14.49952876</v>
      </c>
      <c r="O56" s="127">
        <v>820.09704146000001</v>
      </c>
      <c r="P56" s="127">
        <v>4.0020910000000001</v>
      </c>
      <c r="Q56" s="127">
        <v>11677.088813060001</v>
      </c>
      <c r="R56" s="127">
        <v>406.86345791181901</v>
      </c>
      <c r="S56" s="127">
        <v>9.4727845100000003</v>
      </c>
      <c r="T56" s="127">
        <v>0</v>
      </c>
      <c r="U56" s="127">
        <v>1.2504472800000002</v>
      </c>
      <c r="V56" s="127">
        <v>0</v>
      </c>
      <c r="W56" s="127">
        <v>638.28868863000002</v>
      </c>
      <c r="X56" s="127">
        <v>52.067696839999996</v>
      </c>
      <c r="Y56" s="127">
        <v>11.999786449999998</v>
      </c>
      <c r="Z56" s="127">
        <v>0</v>
      </c>
      <c r="AA56" s="127">
        <v>7.2979885100000006</v>
      </c>
      <c r="AB56" s="127">
        <v>0</v>
      </c>
      <c r="AC56" s="127">
        <v>46.230109280000001</v>
      </c>
      <c r="AD56" s="127">
        <v>1.0961894099999998</v>
      </c>
      <c r="AE56" s="127">
        <v>36.543546300000003</v>
      </c>
      <c r="AF56" s="127">
        <v>0</v>
      </c>
      <c r="AG56" s="127">
        <v>515.80844041</v>
      </c>
    </row>
    <row r="57" spans="1:33" ht="15" customHeight="1" x14ac:dyDescent="0.25">
      <c r="A57" s="124" t="s">
        <v>54</v>
      </c>
      <c r="B57" s="125">
        <v>21285.5233731218</v>
      </c>
      <c r="C57" s="125">
        <v>490.09126863</v>
      </c>
      <c r="D57" s="126">
        <f t="shared" si="3"/>
        <v>2.302462852517221</v>
      </c>
      <c r="E57" s="127">
        <v>3346.6835495</v>
      </c>
      <c r="F57" s="127">
        <v>12.811469809999998</v>
      </c>
      <c r="G57" s="127">
        <v>660.44909041000005</v>
      </c>
      <c r="H57" s="127">
        <v>36.5946675</v>
      </c>
      <c r="I57" s="127">
        <v>494.4355683</v>
      </c>
      <c r="J57" s="127">
        <v>44.699419590000005</v>
      </c>
      <c r="K57" s="127">
        <v>1112.5208504300001</v>
      </c>
      <c r="L57" s="127">
        <v>0.88181993999999997</v>
      </c>
      <c r="M57" s="127">
        <v>1021.98210517</v>
      </c>
      <c r="N57" s="127">
        <v>14.49952876</v>
      </c>
      <c r="O57" s="127">
        <v>856.07240155</v>
      </c>
      <c r="P57" s="127">
        <v>4.0020910000000001</v>
      </c>
      <c r="Q57" s="127">
        <v>11955.9738413</v>
      </c>
      <c r="R57" s="127">
        <v>406.86345791181901</v>
      </c>
      <c r="S57" s="127">
        <v>8.9164827500000001</v>
      </c>
      <c r="T57" s="127">
        <v>0</v>
      </c>
      <c r="U57" s="127">
        <v>1.2434237299999999</v>
      </c>
      <c r="V57" s="127">
        <v>0</v>
      </c>
      <c r="W57" s="127">
        <v>647.63778065999998</v>
      </c>
      <c r="X57" s="127">
        <v>52.067696839999996</v>
      </c>
      <c r="Y57" s="127">
        <v>12.02080232</v>
      </c>
      <c r="Z57" s="127">
        <v>0</v>
      </c>
      <c r="AA57" s="127">
        <v>8.3346918399999996</v>
      </c>
      <c r="AB57" s="127">
        <v>0</v>
      </c>
      <c r="AC57" s="127">
        <v>59.087088280000003</v>
      </c>
      <c r="AD57" s="127">
        <v>1.0961894099999998</v>
      </c>
      <c r="AE57" s="127">
        <v>36.558087489999998</v>
      </c>
      <c r="AF57" s="127">
        <v>0</v>
      </c>
      <c r="AG57" s="127">
        <v>596.28195231999996</v>
      </c>
    </row>
    <row r="58" spans="1:33" ht="15" customHeight="1" x14ac:dyDescent="0.25">
      <c r="A58" s="124" t="s">
        <v>55</v>
      </c>
      <c r="B58" s="125">
        <v>21966.172727879999</v>
      </c>
      <c r="C58" s="125">
        <v>502.27205501999998</v>
      </c>
      <c r="D58" s="126">
        <f t="shared" si="3"/>
        <v>2.2865706340481613</v>
      </c>
      <c r="E58" s="127">
        <v>3400.0921406000002</v>
      </c>
      <c r="F58" s="127">
        <v>46.688475240000002</v>
      </c>
      <c r="G58" s="127">
        <v>670.79581975999997</v>
      </c>
      <c r="H58" s="127">
        <v>40.2956474</v>
      </c>
      <c r="I58" s="127">
        <v>499.43349927999998</v>
      </c>
      <c r="J58" s="127">
        <v>39.175625140000001</v>
      </c>
      <c r="K58" s="127">
        <v>1155.19152872</v>
      </c>
      <c r="L58" s="127">
        <v>0.58389230999999997</v>
      </c>
      <c r="M58" s="127">
        <v>1065.86555006</v>
      </c>
      <c r="N58" s="127">
        <v>17.412768419999999</v>
      </c>
      <c r="O58" s="127">
        <v>1089.99946987</v>
      </c>
      <c r="P58" s="127">
        <v>5.2790910000000002</v>
      </c>
      <c r="Q58" s="127">
        <v>12165.63551942</v>
      </c>
      <c r="R58" s="127">
        <v>407.66181237000001</v>
      </c>
      <c r="S58" s="127">
        <v>8.6067415799999996</v>
      </c>
      <c r="T58" s="127">
        <v>0</v>
      </c>
      <c r="U58" s="127">
        <v>1.2157589</v>
      </c>
      <c r="V58" s="127">
        <v>0</v>
      </c>
      <c r="W58" s="127">
        <v>667.43708795999999</v>
      </c>
      <c r="X58" s="127">
        <v>59.18935415</v>
      </c>
      <c r="Y58" s="127">
        <v>12.08295867</v>
      </c>
      <c r="Z58" s="127">
        <v>0</v>
      </c>
      <c r="AA58" s="127">
        <v>7.8582671900000003</v>
      </c>
      <c r="AB58" s="127">
        <v>0</v>
      </c>
      <c r="AC58" s="127">
        <v>65.144179429999994</v>
      </c>
      <c r="AD58" s="127">
        <v>0.60590140000000003</v>
      </c>
      <c r="AE58" s="127">
        <v>37.649583989999996</v>
      </c>
      <c r="AF58" s="127">
        <v>0</v>
      </c>
      <c r="AG58" s="127">
        <v>691.60768736</v>
      </c>
    </row>
    <row r="59" spans="1:33" ht="15" customHeight="1" x14ac:dyDescent="0.25">
      <c r="A59" s="124" t="s">
        <v>56</v>
      </c>
      <c r="B59" s="125">
        <v>22041.926831839999</v>
      </c>
      <c r="C59" s="125">
        <v>494.71576025000002</v>
      </c>
      <c r="D59" s="126">
        <f t="shared" si="3"/>
        <v>2.2444306435831796</v>
      </c>
      <c r="E59" s="127">
        <v>3362.6243152799998</v>
      </c>
      <c r="F59" s="127">
        <v>46.688475240000002</v>
      </c>
      <c r="G59" s="127">
        <v>652.18895139000006</v>
      </c>
      <c r="H59" s="127">
        <v>40.2956474</v>
      </c>
      <c r="I59" s="127">
        <v>496.42099818999998</v>
      </c>
      <c r="J59" s="127">
        <v>39.175625140000001</v>
      </c>
      <c r="K59" s="127">
        <v>1126.9368658200001</v>
      </c>
      <c r="L59" s="127">
        <v>0.58389230999999997</v>
      </c>
      <c r="M59" s="127">
        <v>1070.5849528399999</v>
      </c>
      <c r="N59" s="127">
        <v>17.412768419999999</v>
      </c>
      <c r="O59" s="127">
        <v>1076.02517726</v>
      </c>
      <c r="P59" s="127">
        <v>5.2790910000000002</v>
      </c>
      <c r="Q59" s="127">
        <v>12326.41694667</v>
      </c>
      <c r="R59" s="127">
        <v>407.66181237000001</v>
      </c>
      <c r="S59" s="127">
        <v>8.4210755299999995</v>
      </c>
      <c r="T59" s="127">
        <v>0</v>
      </c>
      <c r="U59" s="127">
        <v>1.1841531000000001</v>
      </c>
      <c r="V59" s="127">
        <v>0</v>
      </c>
      <c r="W59" s="127">
        <v>676.12281770000004</v>
      </c>
      <c r="X59" s="127">
        <v>59.18935415</v>
      </c>
      <c r="Y59" s="127">
        <v>16.55457453</v>
      </c>
      <c r="Z59" s="127">
        <v>0</v>
      </c>
      <c r="AA59" s="127">
        <v>6.5376349600000001</v>
      </c>
      <c r="AB59" s="127">
        <v>0</v>
      </c>
      <c r="AC59" s="127">
        <v>70.60986527</v>
      </c>
      <c r="AD59" s="127">
        <v>0.60590140000000003</v>
      </c>
      <c r="AE59" s="127">
        <v>39.690175619999998</v>
      </c>
      <c r="AF59" s="127">
        <v>0</v>
      </c>
      <c r="AG59" s="127">
        <v>667.30512982000005</v>
      </c>
    </row>
    <row r="60" spans="1:33" ht="15" customHeight="1" x14ac:dyDescent="0.25">
      <c r="A60" s="124" t="s">
        <v>57</v>
      </c>
      <c r="B60" s="125">
        <v>22484.122831910001</v>
      </c>
      <c r="C60" s="125">
        <v>534.25918471</v>
      </c>
      <c r="D60" s="126">
        <f t="shared" si="3"/>
        <v>2.3761620086497954</v>
      </c>
      <c r="E60" s="127">
        <v>3406.8716277600001</v>
      </c>
      <c r="F60" s="127">
        <v>46.688475240000002</v>
      </c>
      <c r="G60" s="127">
        <v>662.09579918999998</v>
      </c>
      <c r="H60" s="127">
        <v>40.2956474</v>
      </c>
      <c r="I60" s="127">
        <v>501.59506807000002</v>
      </c>
      <c r="J60" s="127">
        <v>39.175625140000001</v>
      </c>
      <c r="K60" s="127">
        <v>1098.1756047900001</v>
      </c>
      <c r="L60" s="127">
        <v>0.58389230999999997</v>
      </c>
      <c r="M60" s="127">
        <v>1084.6226701200001</v>
      </c>
      <c r="N60" s="127">
        <v>17.412768419999999</v>
      </c>
      <c r="O60" s="127">
        <v>1098.5173462400001</v>
      </c>
      <c r="P60" s="127">
        <v>5.2790910000000002</v>
      </c>
      <c r="Q60" s="127">
        <v>12656.24994496</v>
      </c>
      <c r="R60" s="127">
        <v>407.66181237000001</v>
      </c>
      <c r="S60" s="127">
        <v>8.1414122199999994</v>
      </c>
      <c r="T60" s="127">
        <v>0</v>
      </c>
      <c r="U60" s="127">
        <v>1.1841531000000001</v>
      </c>
      <c r="V60" s="127">
        <v>0</v>
      </c>
      <c r="W60" s="127">
        <v>678.94654989000003</v>
      </c>
      <c r="X60" s="127">
        <v>59.18935415</v>
      </c>
      <c r="Y60" s="127">
        <v>14.859283550000001</v>
      </c>
      <c r="Z60" s="127">
        <v>0</v>
      </c>
      <c r="AA60" s="127">
        <v>6.6377927999999997</v>
      </c>
      <c r="AB60" s="127">
        <v>0</v>
      </c>
      <c r="AC60" s="127">
        <v>76.170175650000004</v>
      </c>
      <c r="AD60" s="127">
        <v>0.60590140000000003</v>
      </c>
      <c r="AE60" s="127">
        <v>38.903651429999996</v>
      </c>
      <c r="AF60" s="127">
        <v>0</v>
      </c>
      <c r="AG60" s="127">
        <v>857.50713882000002</v>
      </c>
    </row>
    <row r="61" spans="1:33" ht="15" customHeight="1" x14ac:dyDescent="0.25">
      <c r="A61" s="124" t="s">
        <v>58</v>
      </c>
      <c r="B61" s="125">
        <v>23018.645831869999</v>
      </c>
      <c r="C61" s="125">
        <v>519.77127536</v>
      </c>
      <c r="D61" s="126">
        <f t="shared" si="3"/>
        <v>2.2580445398762827</v>
      </c>
      <c r="E61" s="127">
        <v>3486.7570254299999</v>
      </c>
      <c r="F61" s="127">
        <v>55.898312230000002</v>
      </c>
      <c r="G61" s="127">
        <v>696.49849146999998</v>
      </c>
      <c r="H61" s="127">
        <v>40.132835200000002</v>
      </c>
      <c r="I61" s="127">
        <v>522.40519725000001</v>
      </c>
      <c r="J61" s="127">
        <v>42.560370880000001</v>
      </c>
      <c r="K61" s="127">
        <v>1118.6349164799999</v>
      </c>
      <c r="L61" s="127">
        <v>0.30978370999999999</v>
      </c>
      <c r="M61" s="127">
        <v>1089.5345540999999</v>
      </c>
      <c r="N61" s="127">
        <v>22.04253855</v>
      </c>
      <c r="O61" s="127">
        <v>1105.06507093</v>
      </c>
      <c r="P61" s="127">
        <v>5.3582297900000002</v>
      </c>
      <c r="Q61" s="127">
        <v>12945.850470400001</v>
      </c>
      <c r="R61" s="127">
        <v>449.89472573</v>
      </c>
      <c r="S61" s="127">
        <v>44.925825340000003</v>
      </c>
      <c r="T61" s="127">
        <v>0</v>
      </c>
      <c r="U61" s="127">
        <v>1.1291530999999999</v>
      </c>
      <c r="V61" s="127">
        <v>0</v>
      </c>
      <c r="W61" s="127">
        <v>685.93276452999999</v>
      </c>
      <c r="X61" s="127">
        <v>66.84533777</v>
      </c>
      <c r="Y61" s="127">
        <v>15.7435723</v>
      </c>
      <c r="Z61" s="127">
        <v>0</v>
      </c>
      <c r="AA61" s="127">
        <v>6.3298390400000004</v>
      </c>
      <c r="AB61" s="127">
        <v>0</v>
      </c>
      <c r="AC61" s="127">
        <v>54.966298879999997</v>
      </c>
      <c r="AD61" s="127">
        <v>0.90875138</v>
      </c>
      <c r="AE61" s="127">
        <v>41.150492020000002</v>
      </c>
      <c r="AF61" s="127">
        <v>0</v>
      </c>
      <c r="AG61" s="127">
        <v>782.22745200999998</v>
      </c>
    </row>
    <row r="62" spans="1:33" ht="15" customHeight="1" x14ac:dyDescent="0.25">
      <c r="A62" s="124" t="s">
        <v>59</v>
      </c>
      <c r="B62" s="125">
        <v>23196.472673640001</v>
      </c>
      <c r="C62" s="125">
        <v>440.37917463999997</v>
      </c>
      <c r="D62" s="126">
        <f t="shared" si="3"/>
        <v>1.8984747415517096</v>
      </c>
      <c r="E62" s="127">
        <v>3433.6060745200002</v>
      </c>
      <c r="F62" s="127">
        <v>55.898312230000002</v>
      </c>
      <c r="G62" s="127">
        <v>706.86530153000001</v>
      </c>
      <c r="H62" s="127">
        <v>40.132835200000002</v>
      </c>
      <c r="I62" s="127">
        <v>491.88119259000001</v>
      </c>
      <c r="J62" s="127">
        <v>42.560370880000001</v>
      </c>
      <c r="K62" s="127">
        <v>1104.4258694099999</v>
      </c>
      <c r="L62" s="127">
        <v>0.30978370999999999</v>
      </c>
      <c r="M62" s="127">
        <v>1130.77302792</v>
      </c>
      <c r="N62" s="127">
        <v>22.04253855</v>
      </c>
      <c r="O62" s="127">
        <v>1321.41701459</v>
      </c>
      <c r="P62" s="127">
        <v>5.3582297900000002</v>
      </c>
      <c r="Q62" s="127">
        <v>13019.06049285</v>
      </c>
      <c r="R62" s="127">
        <v>449.89472573</v>
      </c>
      <c r="S62" s="127">
        <v>51.138200580000003</v>
      </c>
      <c r="T62" s="127">
        <v>0</v>
      </c>
      <c r="U62" s="127">
        <v>1.0791531000000001</v>
      </c>
      <c r="V62" s="127">
        <v>0</v>
      </c>
      <c r="W62" s="127">
        <v>694.01569899000003</v>
      </c>
      <c r="X62" s="127">
        <v>66.84533777</v>
      </c>
      <c r="Y62" s="127">
        <v>22.106891319999999</v>
      </c>
      <c r="Z62" s="127">
        <v>0</v>
      </c>
      <c r="AA62" s="127">
        <v>5.9397454300000003</v>
      </c>
      <c r="AB62" s="127">
        <v>0</v>
      </c>
      <c r="AC62" s="127">
        <v>50.43810526</v>
      </c>
      <c r="AD62" s="127">
        <v>0.90875138</v>
      </c>
      <c r="AE62" s="127">
        <v>39.39584567</v>
      </c>
      <c r="AF62" s="127">
        <v>0</v>
      </c>
      <c r="AG62" s="127">
        <v>706.56016652000005</v>
      </c>
    </row>
    <row r="63" spans="1:33" ht="15" customHeight="1" x14ac:dyDescent="0.25">
      <c r="A63" s="124" t="s">
        <v>60</v>
      </c>
      <c r="B63" s="125">
        <v>23617.991556720001</v>
      </c>
      <c r="C63" s="125">
        <v>440.25735591</v>
      </c>
      <c r="D63" s="126">
        <f t="shared" si="3"/>
        <v>1.8640761846861365</v>
      </c>
      <c r="E63" s="127">
        <v>3505.5060087699999</v>
      </c>
      <c r="F63" s="127">
        <v>55.898312230000002</v>
      </c>
      <c r="G63" s="127">
        <v>703.08005479999997</v>
      </c>
      <c r="H63" s="127">
        <v>40.132835200000002</v>
      </c>
      <c r="I63" s="127">
        <v>495.80013974000002</v>
      </c>
      <c r="J63" s="127">
        <v>42.560370880000001</v>
      </c>
      <c r="K63" s="127">
        <v>1135.6773366899999</v>
      </c>
      <c r="L63" s="127">
        <v>0.30978370999999999</v>
      </c>
      <c r="M63" s="127">
        <v>1143.0243782</v>
      </c>
      <c r="N63" s="127">
        <v>22.04253855</v>
      </c>
      <c r="O63" s="127">
        <v>1314.2108879</v>
      </c>
      <c r="P63" s="127">
        <v>5.3582297900000002</v>
      </c>
      <c r="Q63" s="127">
        <v>13338.71316668</v>
      </c>
      <c r="R63" s="127">
        <v>449.89472573</v>
      </c>
      <c r="S63" s="127">
        <v>28.248409150000001</v>
      </c>
      <c r="T63" s="127">
        <v>0</v>
      </c>
      <c r="U63" s="127">
        <v>1.03914869</v>
      </c>
      <c r="V63" s="127">
        <v>0</v>
      </c>
      <c r="W63" s="127">
        <v>709.20562292</v>
      </c>
      <c r="X63" s="127">
        <v>66.84533777</v>
      </c>
      <c r="Y63" s="127">
        <v>22.93932465</v>
      </c>
      <c r="Z63" s="127">
        <v>0</v>
      </c>
      <c r="AA63" s="127">
        <v>5.70619839</v>
      </c>
      <c r="AB63" s="127">
        <v>0</v>
      </c>
      <c r="AC63" s="127">
        <v>49.985543479999997</v>
      </c>
      <c r="AD63" s="127">
        <v>0.90875138</v>
      </c>
      <c r="AE63" s="127">
        <v>40.64709551</v>
      </c>
      <c r="AF63" s="127">
        <v>0</v>
      </c>
      <c r="AG63" s="127">
        <v>610.59667779999995</v>
      </c>
    </row>
    <row r="64" spans="1:33" ht="15" customHeight="1" x14ac:dyDescent="0.25">
      <c r="A64" s="124" t="s">
        <v>61</v>
      </c>
      <c r="B64" s="125">
        <v>23979.124360810001</v>
      </c>
      <c r="C64" s="125">
        <v>437.84492763999998</v>
      </c>
      <c r="D64" s="126">
        <f t="shared" si="3"/>
        <v>1.8259421030218543</v>
      </c>
      <c r="E64" s="127">
        <v>3476.8485448800002</v>
      </c>
      <c r="F64" s="127">
        <v>62.497646369999998</v>
      </c>
      <c r="G64" s="127">
        <v>710.15070306999996</v>
      </c>
      <c r="H64" s="127">
        <v>42.6828352</v>
      </c>
      <c r="I64" s="127">
        <v>487.10996204000003</v>
      </c>
      <c r="J64" s="127">
        <v>45.723689659999998</v>
      </c>
      <c r="K64" s="127">
        <v>1133.54864195</v>
      </c>
      <c r="L64" s="127">
        <v>0.20388484000000001</v>
      </c>
      <c r="M64" s="127">
        <v>1188.0659588000001</v>
      </c>
      <c r="N64" s="127">
        <v>22.82449128</v>
      </c>
      <c r="O64" s="127">
        <v>1421.0077585399999</v>
      </c>
      <c r="P64" s="127">
        <v>5.2806465600000001</v>
      </c>
      <c r="Q64" s="127">
        <v>13515.026135939999</v>
      </c>
      <c r="R64" s="127">
        <v>491.29358698999999</v>
      </c>
      <c r="S64" s="127">
        <v>10.48486535</v>
      </c>
      <c r="T64" s="127">
        <v>0</v>
      </c>
      <c r="U64" s="127">
        <v>0.99874423000000001</v>
      </c>
      <c r="V64" s="127">
        <v>0</v>
      </c>
      <c r="W64" s="127">
        <v>729.45340526999996</v>
      </c>
      <c r="X64" s="127">
        <v>71.354744710000006</v>
      </c>
      <c r="Y64" s="127">
        <v>22.32135551</v>
      </c>
      <c r="Z64" s="127">
        <v>0</v>
      </c>
      <c r="AA64" s="127">
        <v>5.89101915</v>
      </c>
      <c r="AB64" s="127">
        <v>0</v>
      </c>
      <c r="AC64" s="127">
        <v>50.707049419999997</v>
      </c>
      <c r="AD64" s="127">
        <v>0.50148901999999995</v>
      </c>
      <c r="AE64" s="127">
        <v>47.302274390000001</v>
      </c>
      <c r="AF64" s="127">
        <v>0</v>
      </c>
      <c r="AG64" s="127">
        <v>568.78507174000003</v>
      </c>
    </row>
    <row r="65" spans="1:84" ht="15" customHeight="1" x14ac:dyDescent="0.25">
      <c r="A65" s="124" t="s">
        <v>80</v>
      </c>
      <c r="B65" s="125"/>
      <c r="C65" s="125"/>
      <c r="D65" s="126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</row>
    <row r="66" spans="1:84" ht="15" customHeight="1" x14ac:dyDescent="0.25">
      <c r="A66" s="124" t="s">
        <v>50</v>
      </c>
      <c r="B66" s="125">
        <v>24362.526631280001</v>
      </c>
      <c r="C66" s="125">
        <v>454.06281114000001</v>
      </c>
      <c r="D66" s="126">
        <f t="shared" ref="D66:D68" si="4">C66/B66*100</f>
        <v>1.8637755353215748</v>
      </c>
      <c r="E66" s="127">
        <v>3444.1798715599998</v>
      </c>
      <c r="F66" s="127">
        <v>62.497646369999998</v>
      </c>
      <c r="G66" s="127">
        <v>856.90960831999996</v>
      </c>
      <c r="H66" s="127">
        <v>42.6828352</v>
      </c>
      <c r="I66" s="127">
        <v>474.97619331999999</v>
      </c>
      <c r="J66" s="127">
        <v>45.723689659999998</v>
      </c>
      <c r="K66" s="127">
        <v>1144.13815654</v>
      </c>
      <c r="L66" s="127">
        <v>0.20388484000000001</v>
      </c>
      <c r="M66" s="127">
        <v>1386.1662965099999</v>
      </c>
      <c r="N66" s="127">
        <v>22.82449128</v>
      </c>
      <c r="O66" s="127">
        <v>1390.6909822099999</v>
      </c>
      <c r="P66" s="127">
        <v>5.2806465600000001</v>
      </c>
      <c r="Q66" s="127">
        <v>13604.574583670001</v>
      </c>
      <c r="R66" s="127">
        <v>491.29358698999999</v>
      </c>
      <c r="S66" s="127">
        <v>9.7549017199999994</v>
      </c>
      <c r="T66" s="127">
        <v>0</v>
      </c>
      <c r="U66" s="127">
        <v>0.95793572999999999</v>
      </c>
      <c r="V66" s="127">
        <v>0</v>
      </c>
      <c r="W66" s="127">
        <v>738.74879229999999</v>
      </c>
      <c r="X66" s="127">
        <v>71.354744710000006</v>
      </c>
      <c r="Y66" s="127">
        <v>29.311227720000002</v>
      </c>
      <c r="Z66" s="127">
        <v>0</v>
      </c>
      <c r="AA66" s="127">
        <v>3.24873491</v>
      </c>
      <c r="AB66" s="127">
        <v>0</v>
      </c>
      <c r="AC66" s="127">
        <v>46.113859920000003</v>
      </c>
      <c r="AD66" s="127">
        <v>0.50148901999999995</v>
      </c>
      <c r="AE66" s="127">
        <v>36.329661080000001</v>
      </c>
      <c r="AF66" s="127">
        <v>0</v>
      </c>
      <c r="AG66" s="127">
        <v>962.53158026999995</v>
      </c>
    </row>
    <row r="67" spans="1:84" ht="15" customHeight="1" x14ac:dyDescent="0.25">
      <c r="A67" s="124" t="s">
        <v>51</v>
      </c>
      <c r="B67" s="125">
        <v>24629.126192600001</v>
      </c>
      <c r="C67" s="125">
        <v>469.15723987000001</v>
      </c>
      <c r="D67" s="126">
        <f t="shared" si="4"/>
        <v>1.9048878803136819</v>
      </c>
      <c r="E67" s="127">
        <v>3495.0056662299999</v>
      </c>
      <c r="F67" s="127">
        <v>62.497646369999998</v>
      </c>
      <c r="G67" s="127">
        <v>827.1287509</v>
      </c>
      <c r="H67" s="127">
        <v>42.6828352</v>
      </c>
      <c r="I67" s="127">
        <v>467.44032426000001</v>
      </c>
      <c r="J67" s="127">
        <v>45.723689659999998</v>
      </c>
      <c r="K67" s="127">
        <v>1118.11847324</v>
      </c>
      <c r="L67" s="127">
        <v>0.20388484000000001</v>
      </c>
      <c r="M67" s="127">
        <v>1390.6726234499999</v>
      </c>
      <c r="N67" s="127">
        <v>22.82449128</v>
      </c>
      <c r="O67" s="127">
        <v>1462.80029496</v>
      </c>
      <c r="P67" s="127">
        <v>5.2806465600000001</v>
      </c>
      <c r="Q67" s="127">
        <v>13779.339342359999</v>
      </c>
      <c r="R67" s="127">
        <v>491.29358698999999</v>
      </c>
      <c r="S67" s="127">
        <v>9.5166273799999992</v>
      </c>
      <c r="T67" s="127">
        <v>0</v>
      </c>
      <c r="U67" s="127">
        <v>0.91671913999999999</v>
      </c>
      <c r="V67" s="127">
        <v>0</v>
      </c>
      <c r="W67" s="127">
        <v>750.99694168999997</v>
      </c>
      <c r="X67" s="127">
        <v>71.354744710000006</v>
      </c>
      <c r="Y67" s="127">
        <v>25.282118260000001</v>
      </c>
      <c r="Z67" s="127">
        <v>0</v>
      </c>
      <c r="AA67" s="127">
        <v>3.0570781299999998</v>
      </c>
      <c r="AB67" s="127">
        <v>0</v>
      </c>
      <c r="AC67" s="127">
        <v>47.203366299999999</v>
      </c>
      <c r="AD67" s="127">
        <v>0.50148901999999995</v>
      </c>
      <c r="AE67" s="127">
        <v>40.127611799999997</v>
      </c>
      <c r="AF67" s="127">
        <v>0</v>
      </c>
      <c r="AG67" s="127">
        <v>704.37689886999999</v>
      </c>
    </row>
    <row r="68" spans="1:84" x14ac:dyDescent="0.25">
      <c r="A68" s="132" t="s">
        <v>52</v>
      </c>
      <c r="B68" s="133">
        <v>25442.69492468</v>
      </c>
      <c r="C68" s="133">
        <v>470.75581861000001</v>
      </c>
      <c r="D68" s="134">
        <f t="shared" si="4"/>
        <v>1.8502592591060629</v>
      </c>
      <c r="E68" s="135">
        <v>3666.9534031200001</v>
      </c>
      <c r="F68" s="135">
        <v>57.161162089999998</v>
      </c>
      <c r="G68" s="135">
        <v>745.40770825000004</v>
      </c>
      <c r="H68" s="135">
        <v>42.6828352</v>
      </c>
      <c r="I68" s="135">
        <v>451.25856865999998</v>
      </c>
      <c r="J68" s="135">
        <v>44.689331099999997</v>
      </c>
      <c r="K68" s="135">
        <v>1133.98741591</v>
      </c>
      <c r="L68" s="135">
        <v>0.15745048</v>
      </c>
      <c r="M68" s="135">
        <v>1399.8904659699999</v>
      </c>
      <c r="N68" s="135">
        <v>537.44268625999996</v>
      </c>
      <c r="O68" s="135">
        <v>1466.9427995999999</v>
      </c>
      <c r="P68" s="135">
        <v>5.2040201100000001</v>
      </c>
      <c r="Q68" s="135">
        <v>13946.66314035</v>
      </c>
      <c r="R68" s="135">
        <v>523.15115455</v>
      </c>
      <c r="S68" s="135">
        <v>9.1823221400000001</v>
      </c>
      <c r="T68" s="135">
        <v>0</v>
      </c>
      <c r="U68" s="135">
        <v>0.87509039</v>
      </c>
      <c r="V68" s="135">
        <v>0</v>
      </c>
      <c r="W68" s="135">
        <v>754.40685633999999</v>
      </c>
      <c r="X68" s="135">
        <v>74.075622800000005</v>
      </c>
      <c r="Y68" s="135">
        <v>31.275232760000002</v>
      </c>
      <c r="Z68" s="135">
        <v>0</v>
      </c>
      <c r="AA68" s="135">
        <v>0.85787996</v>
      </c>
      <c r="AB68" s="135">
        <v>0</v>
      </c>
      <c r="AC68" s="135">
        <v>41.13730863</v>
      </c>
      <c r="AD68" s="135">
        <v>0.20668868000000001</v>
      </c>
      <c r="AE68" s="135">
        <v>38.329962719999997</v>
      </c>
      <c r="AF68" s="135">
        <v>0</v>
      </c>
      <c r="AG68" s="135">
        <v>620.27643058000001</v>
      </c>
    </row>
    <row r="69" spans="1:84" s="137" customFormat="1" ht="18" customHeight="1" x14ac:dyDescent="0.25">
      <c r="A69" s="136" t="s">
        <v>81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</row>
    <row r="70" spans="1:84" s="137" customFormat="1" ht="18" customHeight="1" x14ac:dyDescent="0.25">
      <c r="A70" s="136" t="s">
        <v>96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</row>
    <row r="71" spans="1:84" s="137" customFormat="1" ht="18" customHeight="1" x14ac:dyDescent="0.25">
      <c r="A71" s="138" t="s">
        <v>97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</row>
    <row r="72" spans="1:84" x14ac:dyDescent="0.25">
      <c r="E72" s="139"/>
      <c r="F72" s="139"/>
      <c r="G72" s="139"/>
      <c r="N72" s="140"/>
      <c r="O72" s="139"/>
      <c r="Q72" s="86"/>
      <c r="W72" s="86"/>
      <c r="X72" s="86"/>
      <c r="AB72" s="23"/>
      <c r="AC72" s="85"/>
    </row>
    <row r="73" spans="1:84" ht="17.25" customHeight="1" x14ac:dyDescent="0.25">
      <c r="E73" s="86"/>
      <c r="F73" s="86"/>
      <c r="G73" s="86"/>
      <c r="I73" s="86"/>
      <c r="K73" s="86"/>
      <c r="M73" s="86"/>
      <c r="N73" s="140"/>
      <c r="O73" s="86"/>
      <c r="Q73" s="86"/>
      <c r="S73" s="86"/>
      <c r="T73" s="141"/>
      <c r="W73" s="86"/>
      <c r="X73" s="86"/>
      <c r="Y73" s="86"/>
      <c r="AA73" s="86"/>
      <c r="AC73" s="86"/>
      <c r="AE73" s="86"/>
    </row>
    <row r="74" spans="1:84" x14ac:dyDescent="0.25">
      <c r="D74" s="142"/>
      <c r="E74" s="143"/>
      <c r="G74" s="143"/>
      <c r="H74" s="144"/>
      <c r="I74" s="143"/>
      <c r="K74" s="143"/>
      <c r="M74" s="143"/>
      <c r="N74" s="140"/>
      <c r="O74" s="143"/>
      <c r="Q74" s="143"/>
      <c r="S74" s="143"/>
      <c r="T74" s="141"/>
      <c r="U74" s="145"/>
      <c r="W74" s="145"/>
      <c r="X74" s="86"/>
      <c r="Y74" s="145"/>
      <c r="AA74" s="145"/>
      <c r="AC74" s="145"/>
      <c r="AE74" s="145"/>
      <c r="AG74" s="145"/>
    </row>
    <row r="75" spans="1:84" s="4" customFormat="1" x14ac:dyDescent="0.25">
      <c r="A75" s="84"/>
      <c r="B75" s="84"/>
      <c r="C75" s="84"/>
      <c r="D75" s="142"/>
      <c r="E75" s="145"/>
      <c r="F75" s="146"/>
      <c r="G75" s="85"/>
      <c r="H75" s="147"/>
      <c r="I75" s="85"/>
      <c r="J75" s="148"/>
      <c r="K75" s="85"/>
      <c r="L75" s="148"/>
      <c r="M75" s="85"/>
      <c r="N75" s="148"/>
      <c r="O75" s="139"/>
      <c r="P75" s="148"/>
      <c r="Q75" s="85"/>
      <c r="R75" s="148"/>
      <c r="S75" s="85"/>
      <c r="T75" s="148"/>
      <c r="U75" s="86"/>
      <c r="V75" s="85"/>
      <c r="W75" s="149"/>
      <c r="X75" s="149"/>
      <c r="Z75" s="148"/>
      <c r="AB75" s="148"/>
      <c r="AD75" s="148"/>
      <c r="AF75" s="148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</row>
    <row r="76" spans="1:84" s="4" customFormat="1" x14ac:dyDescent="0.25">
      <c r="A76" s="84"/>
      <c r="B76" s="84"/>
      <c r="C76" s="84"/>
      <c r="D76" s="84"/>
      <c r="E76" s="85"/>
      <c r="F76" s="85"/>
      <c r="G76" s="85"/>
      <c r="H76" s="85"/>
      <c r="I76" s="85"/>
      <c r="J76" s="85"/>
      <c r="K76" s="85"/>
      <c r="L76" s="85"/>
      <c r="M76" s="85"/>
      <c r="N76" s="140"/>
      <c r="O76" s="139"/>
      <c r="P76" s="85"/>
      <c r="Q76" s="85"/>
      <c r="R76" s="85"/>
      <c r="S76" s="85"/>
      <c r="T76" s="85"/>
      <c r="U76" s="86"/>
      <c r="V76" s="85"/>
      <c r="W76" s="85"/>
      <c r="X76" s="86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</row>
    <row r="77" spans="1:84" s="4" customFormat="1" x14ac:dyDescent="0.25">
      <c r="A77" s="84"/>
      <c r="B77" s="84"/>
      <c r="C77" s="84"/>
      <c r="D77" s="84"/>
      <c r="E77" s="85"/>
      <c r="F77" s="85"/>
      <c r="G77" s="85"/>
      <c r="H77" s="85"/>
      <c r="I77" s="85"/>
      <c r="J77" s="85"/>
      <c r="K77" s="85"/>
      <c r="L77" s="85"/>
      <c r="M77" s="85"/>
      <c r="N77" s="140"/>
      <c r="O77" s="139"/>
      <c r="P77" s="85"/>
      <c r="Q77" s="85"/>
      <c r="R77" s="85"/>
      <c r="S77" s="85"/>
      <c r="T77" s="141"/>
      <c r="U77" s="86"/>
      <c r="V77" s="85"/>
      <c r="W77" s="85"/>
      <c r="X77" s="86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</row>
    <row r="78" spans="1:84" s="4" customFormat="1" x14ac:dyDescent="0.25">
      <c r="A78" s="84"/>
      <c r="B78" s="84"/>
      <c r="C78" s="84"/>
      <c r="D78" s="84"/>
      <c r="E78" s="85"/>
      <c r="F78" s="85"/>
      <c r="G78" s="85"/>
      <c r="H78" s="85"/>
      <c r="I78" s="85"/>
      <c r="J78" s="85"/>
      <c r="K78" s="85"/>
      <c r="L78" s="85"/>
      <c r="M78" s="85"/>
      <c r="N78" s="140"/>
      <c r="O78" s="139"/>
      <c r="P78" s="85"/>
      <c r="Q78" s="85"/>
      <c r="R78" s="141"/>
      <c r="S78" s="85"/>
      <c r="T78" s="141"/>
      <c r="U78" s="86"/>
      <c r="V78" s="85"/>
      <c r="W78" s="85"/>
      <c r="X78" s="143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</row>
    <row r="79" spans="1:84" s="4" customFormat="1" x14ac:dyDescent="0.25">
      <c r="A79" s="84"/>
      <c r="B79" s="84"/>
      <c r="C79" s="84"/>
      <c r="D79" s="84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145"/>
      <c r="U79" s="86"/>
      <c r="V79" s="85"/>
      <c r="W79" s="85"/>
      <c r="X79" s="86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</row>
    <row r="80" spans="1:84" s="4" customFormat="1" x14ac:dyDescent="0.25">
      <c r="A80" s="84"/>
      <c r="B80" s="84"/>
      <c r="C80" s="84"/>
      <c r="D80" s="84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145"/>
      <c r="U80" s="86"/>
      <c r="V80" s="85"/>
      <c r="W80" s="85"/>
      <c r="X80" s="86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</row>
    <row r="81" spans="1:84" s="4" customFormat="1" x14ac:dyDescent="0.25">
      <c r="A81" s="84"/>
      <c r="B81" s="84"/>
      <c r="C81" s="84"/>
      <c r="D81" s="84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141"/>
      <c r="U81" s="86"/>
      <c r="V81" s="85"/>
      <c r="W81" s="85"/>
      <c r="X81" s="86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</row>
    <row r="82" spans="1:84" s="4" customFormat="1" x14ac:dyDescent="0.25">
      <c r="A82" s="84"/>
      <c r="B82" s="84"/>
      <c r="C82" s="84"/>
      <c r="D82" s="84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141"/>
      <c r="U82" s="86"/>
      <c r="V82" s="85"/>
      <c r="W82" s="85"/>
      <c r="X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</row>
    <row r="83" spans="1:84" s="4" customFormat="1" x14ac:dyDescent="0.25">
      <c r="A83" s="84"/>
      <c r="B83" s="84"/>
      <c r="C83" s="84"/>
      <c r="D83" s="84"/>
      <c r="E83" s="85"/>
      <c r="F83" s="85"/>
      <c r="G83" s="85"/>
      <c r="H83" s="85"/>
      <c r="I83" s="85"/>
      <c r="J83" s="85"/>
      <c r="K83" s="85"/>
      <c r="L83" s="85"/>
      <c r="M83" s="85"/>
      <c r="N83" s="85"/>
      <c r="O83" s="85"/>
      <c r="P83" s="85"/>
      <c r="Q83" s="85"/>
      <c r="R83" s="85"/>
      <c r="S83" s="85"/>
      <c r="T83" s="141"/>
      <c r="U83" s="86"/>
      <c r="V83" s="85"/>
      <c r="W83" s="85"/>
      <c r="X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</row>
  </sheetData>
  <mergeCells count="42">
    <mergeCell ref="AA11:AB11"/>
    <mergeCell ref="AC11:AD11"/>
    <mergeCell ref="AE11:AF11"/>
    <mergeCell ref="A69:AG69"/>
    <mergeCell ref="A70:AG70"/>
    <mergeCell ref="A71:AG71"/>
    <mergeCell ref="AG10:AG12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7:X8"/>
    <mergeCell ref="Y7:Z8"/>
    <mergeCell ref="AA7:AB8"/>
    <mergeCell ref="AC7:AD8"/>
    <mergeCell ref="AE7:AF8"/>
    <mergeCell ref="A10:A12"/>
    <mergeCell ref="B10:D11"/>
    <mergeCell ref="E10:AF10"/>
    <mergeCell ref="W11:X11"/>
    <mergeCell ref="Y11:Z11"/>
    <mergeCell ref="K7:L8"/>
    <mergeCell ref="M7:N8"/>
    <mergeCell ref="O7:P8"/>
    <mergeCell ref="Q7:R8"/>
    <mergeCell ref="S7:T8"/>
    <mergeCell ref="U7:V8"/>
    <mergeCell ref="A2:AG2"/>
    <mergeCell ref="A3:AG3"/>
    <mergeCell ref="A5:AG5"/>
    <mergeCell ref="A6:A9"/>
    <mergeCell ref="B6:D8"/>
    <mergeCell ref="E6:AF6"/>
    <mergeCell ref="AG6:AG9"/>
    <mergeCell ref="E7:F8"/>
    <mergeCell ref="G7:H8"/>
    <mergeCell ref="I7:J8"/>
  </mergeCells>
  <pageMargins left="0.17" right="0.17" top="0.17" bottom="0.17" header="0.17" footer="0.17"/>
  <pageSetup scale="1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2.8</vt:lpstr>
      <vt:lpstr>2.8.d.</vt:lpstr>
      <vt:lpstr>'2.8'!Print_Area</vt:lpstr>
      <vt:lpstr>'2.8.d.'!Print_Area</vt:lpstr>
      <vt:lpstr>'2.8'!Print_Titles</vt:lpstr>
      <vt:lpstr>'2.8.d.'!Print_Titles</vt:lpstr>
    </vt:vector>
  </TitlesOfParts>
  <Company>CBAR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Samid Guluzada</dc:creator>
  <cp:lastModifiedBy>Samid Guluzada</cp:lastModifiedBy>
  <dcterms:created xsi:type="dcterms:W3CDTF">2024-04-24T06:26:33Z</dcterms:created>
  <dcterms:modified xsi:type="dcterms:W3CDTF">2024-04-24T07:04:01Z</dcterms:modified>
</cp:coreProperties>
</file>