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2.24\Separate 02.24\"/>
    </mc:Choice>
  </mc:AlternateContent>
  <xr:revisionPtr revIDLastSave="0" documentId="8_{E93D4633-9CE3-4FEA-9159-57C9AF97EC1D}" xr6:coauthVersionLast="47" xr6:coauthVersionMax="47" xr10:uidLastSave="{00000000-0000-0000-0000-000000000000}"/>
  <bookViews>
    <workbookView xWindow="28680" yWindow="-120" windowWidth="38640" windowHeight="21120" xr2:uid="{B750ED2E-C2F1-4477-962C-7A69C9751B65}"/>
  </bookViews>
  <sheets>
    <sheet name="2.4" sheetId="1" r:id="rId1"/>
  </sheets>
  <externalReferences>
    <externalReference r:id="rId2"/>
    <externalReference r:id="rId3"/>
    <externalReference r:id="rId4"/>
    <externalReference r:id="rId5"/>
  </externalReferences>
  <definedNames>
    <definedName name="__LF_ffffffde__ffffffe6_ki_LFdr1_iNdEx_646">'[2]ST-2SD.ST'!$A$81</definedName>
    <definedName name="__LF_ffffffde_u_fffffffe_a_LFdr1_iNdEx_645">'[2]ST-2SD.ST'!$A$80</definedName>
    <definedName name="__LFA_fffffff0_dam_LFdr1_iNdEx_584">'[2]ST-2SD.ST'!$A$19</definedName>
    <definedName name="__LFAstara_LFdr1_iNdEx_582">'[2]ST-2SD.ST'!$A$17</definedName>
    <definedName name="__LFBak_fffffffd__LFdr1_iNdEx_588">'[2]ST-2SD.ST'!$A$23</definedName>
    <definedName name="__LFBalak_ffffffe6_n_LFdr1_iNdEx_589">'[2]ST-2SD.ST'!$A$24</definedName>
    <definedName name="__LFC_ffffffe6_bray_fffffffd_l_LFdr1_iNdEx_593">'[2]ST-2SD.ST'!$A$28</definedName>
    <definedName name="__LFC_ffffffe6_lilabad_LFdr1_iNdEx_594">'[2]ST-2SD.ST'!$A$29</definedName>
    <definedName name="__LFD_ffffffe6_v_ffffffe6__ffffffe7_i_LFdr1_iNdEx_597">'[2]ST-2SD.ST'!$A$32</definedName>
    <definedName name="__LFF_fffffffc_zuli_LFdr1_iNdEx_598">'[2]ST-2SD.ST'!$A$33</definedName>
    <definedName name="__LFK_ffffffe6_lb_ffffffe6_c_ffffffe6_r_LFdr1_iNdEx_604">'[2]ST-2SD.ST'!$A$39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Nax_ffffffe7__fffffffd_van_LFdr1_iNdEx_612">'[2]ST-2SD.ST'!$A$47</definedName>
    <definedName name="__LFO_fffffff0_uz_LFdr1_iNdEx_614">'[2]ST-2SD.ST'!$A$49</definedName>
    <definedName name="__LFQ_ffffffe6_b_ffffffe6_l_ffffffe6__LFdr1_iNdEx_621">'[2]ST-2SD.ST'!$A$56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Siy_ffffffe6_z_ffffffe6_n_LFdr1_iNdEx_626">'[2]ST-2SD.ST'!$A$61</definedName>
    <definedName name="__LFT_ffffffe6_rt_ffffffe6_r_LFdr1_iNdEx_629">'[2]ST-2SD.ST'!$A$64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qatala_LFdr1_iNdEx_638">'[2]ST-2SD.ST'!$A$73</definedName>
    <definedName name="_b2_iNdEx_2">'[3]3.6'!#REF!</definedName>
    <definedName name="_c1_iNdEx_3">'[3]3.6'!#REF!</definedName>
    <definedName name="_c2_iNdEx_4">'[3]3.6'!#REF!</definedName>
    <definedName name="_c3_iNdEx_5">'[3]3.6'!#REF!</definedName>
    <definedName name="_c4_iNdEx_6">'[3]3.6'!#REF!</definedName>
    <definedName name="_c5_iNdEx_7">'[3]3.6'!#REF!</definedName>
    <definedName name="_c6_iNdEx_8">'[3]3.6'!#REF!</definedName>
    <definedName name="_c7_iNdEx_9">'[3]3.6'!#REF!</definedName>
    <definedName name="_c8_iNdEx_10">'[3]3.6'!#REF!</definedName>
    <definedName name="_h1_iNdEx_11">'[3]3.6 (2)'!$A$2</definedName>
    <definedName name="_h10_iNdEx_38">'[3]3.6 (2)'!$A$30</definedName>
    <definedName name="_h11_iNdEx_39">'[3]3.6 (2)'!$A$31</definedName>
    <definedName name="_h12_iNdEx_40">'[3]3.6'!#REF!</definedName>
    <definedName name="_h13_iNdEx_42">'[3]3.6 (2)'!$A$33</definedName>
    <definedName name="_h14_iNdEx_47">'[3]3.6 (2)'!$A$37</definedName>
    <definedName name="_h15_iNdEx_55">'[3]3.6'!#REF!</definedName>
    <definedName name="_h2_iNdEx_12">'[3]3.6 (2)'!$A$4</definedName>
    <definedName name="_h3_iNdEx_13">'[3]3.6 (2)'!$A$13</definedName>
    <definedName name="_h4_iNdEx_14">'[3]3.6 (2)'!$A$14</definedName>
    <definedName name="_h5_iNdEx_15">'[3]3.6'!#REF!</definedName>
    <definedName name="_h6_iNdEx_17">'[3]3.6 (2)'!$A$16</definedName>
    <definedName name="_h7_iNdEx_22">'[3]3.6 (2)'!$A$20</definedName>
    <definedName name="_h8_iNdEx_28">'[3]3.6 (2)'!$A$26</definedName>
    <definedName name="_h9_iNdEx_37">'[3]3.6'!#REF!</definedName>
    <definedName name="_r1_iNdEx_16">'[3]3.6 (2)'!$A$15</definedName>
    <definedName name="_r10_iNdEx_27">'[3]3.6 (2)'!$A$25</definedName>
    <definedName name="_r11_iNdEx_29">'[3]3.6 (2)'!$A$27</definedName>
    <definedName name="_r12_iNdEx_30">'[3]3.6'!#REF!</definedName>
    <definedName name="_r13_iNdEx_31">'[3]3.6'!#REF!</definedName>
    <definedName name="_r14_iNdEx_32">'[3]3.6'!#REF!</definedName>
    <definedName name="_r15_iNdEx_33">'[3]3.6'!#REF!</definedName>
    <definedName name="_r16_iNdEx_34">'[3]3.6'!#REF!</definedName>
    <definedName name="_r17_iNdEx_35">'[3]3.6'!#REF!</definedName>
    <definedName name="_r18_iNdEx_36">'[3]3.6'!#REF!</definedName>
    <definedName name="_r19_iNdEx_41">'[3]3.6 (2)'!$A$32</definedName>
    <definedName name="_r2_iNdEx_18">'[3]3.6'!#REF!</definedName>
    <definedName name="_r20_iNdEx_43">'[3]3.6'!#REF!</definedName>
    <definedName name="_r21_iNdEx_44">'[3]3.6 (2)'!$A$34</definedName>
    <definedName name="_r22_iNdEx_45">'[3]3.6 (2)'!$A$35</definedName>
    <definedName name="_r23_iNdEx_46">'[3]3.6 (2)'!$A$36</definedName>
    <definedName name="_r24_iNdEx_48">'[3]3.6 (2)'!$A$38</definedName>
    <definedName name="_r25_iNdEx_49">'[3]3.6 (2)'!$A$39</definedName>
    <definedName name="_r26_iNdEx_50">'[3]3.6 (2)'!$A$40</definedName>
    <definedName name="_r27_iNdEx_51">'[3]3.6 (2)'!$A$41</definedName>
    <definedName name="_r28_iNdEx_52">'[3]3.6 (2)'!$A$42</definedName>
    <definedName name="_r29_iNdEx_53">'[3]3.6 (2)'!$A$43</definedName>
    <definedName name="_r3_iNdEx_19">'[3]3.6 (2)'!$A$17</definedName>
    <definedName name="_r30_iNdEx_54">'[3]3.6'!#REF!</definedName>
    <definedName name="_r31_iNdEx_56">'[3]3.6'!#REF!</definedName>
    <definedName name="_r32_iNdEx_57">'[3]3.6'!#REF!</definedName>
    <definedName name="_r33_iNdEx_58">'[3]3.6'!#REF!</definedName>
    <definedName name="_r34_iNdEx_59">'[3]3.6'!#REF!</definedName>
    <definedName name="_r4_iNdEx_20">'[3]3.6 (2)'!$A$18</definedName>
    <definedName name="_r5_iNdEx_21">'[3]3.6 (2)'!$A$19</definedName>
    <definedName name="_r6_iNdEx_23">'[3]3.6 (2)'!$A$21</definedName>
    <definedName name="_r7_iNdEx_24">'[3]3.6 (2)'!$A$22</definedName>
    <definedName name="_r8_iNdEx_25">'[3]3.6 (2)'!$A$23</definedName>
    <definedName name="_r9_iNdEx_26">'[3]3.6 (2)'!$A$24</definedName>
    <definedName name="_rid_Tb1_iNdEx_1">'[3]3.6'!#REF!</definedName>
    <definedName name="fdfdfdf">'[4]ST-2SD.ST'!$A$23</definedName>
    <definedName name="lerik">'[4]ST-2SD.ST'!$A$42</definedName>
    <definedName name="_xlnm.Print_Area" localSheetId="0">'2.4'!$A$1:$N$278</definedName>
  </definedNames>
  <calcPr calcId="191029" iterate="1" iterateCount="99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6" i="1" l="1"/>
  <c r="I276" i="1"/>
  <c r="H276" i="1"/>
  <c r="G276" i="1"/>
  <c r="F276" i="1"/>
  <c r="J275" i="1"/>
  <c r="I275" i="1"/>
  <c r="H275" i="1"/>
  <c r="G275" i="1"/>
  <c r="F275" i="1"/>
  <c r="J273" i="1"/>
  <c r="I273" i="1"/>
  <c r="H273" i="1"/>
  <c r="G273" i="1"/>
  <c r="F273" i="1"/>
  <c r="J272" i="1"/>
  <c r="I272" i="1"/>
  <c r="H272" i="1"/>
  <c r="G272" i="1"/>
  <c r="F272" i="1"/>
  <c r="J271" i="1"/>
  <c r="I271" i="1"/>
  <c r="H271" i="1"/>
  <c r="G271" i="1"/>
  <c r="F271" i="1"/>
  <c r="J270" i="1"/>
  <c r="I270" i="1"/>
  <c r="H270" i="1"/>
  <c r="G270" i="1"/>
  <c r="F270" i="1"/>
  <c r="J269" i="1"/>
  <c r="I269" i="1"/>
  <c r="H269" i="1"/>
  <c r="G269" i="1"/>
  <c r="F269" i="1"/>
  <c r="J268" i="1"/>
  <c r="I268" i="1"/>
  <c r="H268" i="1"/>
  <c r="G268" i="1"/>
  <c r="F268" i="1"/>
  <c r="J267" i="1"/>
  <c r="I267" i="1"/>
  <c r="H267" i="1"/>
  <c r="G267" i="1"/>
  <c r="F267" i="1"/>
  <c r="J266" i="1"/>
  <c r="I266" i="1"/>
  <c r="H266" i="1"/>
  <c r="G266" i="1"/>
  <c r="F266" i="1"/>
  <c r="J265" i="1"/>
  <c r="I265" i="1"/>
  <c r="H265" i="1"/>
  <c r="G265" i="1"/>
  <c r="F265" i="1"/>
  <c r="J264" i="1"/>
  <c r="I264" i="1"/>
  <c r="H264" i="1"/>
  <c r="G264" i="1"/>
  <c r="F264" i="1"/>
  <c r="J263" i="1"/>
  <c r="I263" i="1"/>
  <c r="H263" i="1"/>
  <c r="G263" i="1"/>
  <c r="F263" i="1"/>
  <c r="J262" i="1"/>
  <c r="I262" i="1"/>
  <c r="H262" i="1"/>
  <c r="G262" i="1"/>
  <c r="F262" i="1"/>
  <c r="J260" i="1"/>
  <c r="I260" i="1"/>
  <c r="H260" i="1"/>
  <c r="G260" i="1"/>
  <c r="F260" i="1"/>
  <c r="H259" i="1"/>
  <c r="G259" i="1"/>
  <c r="F259" i="1"/>
  <c r="J258" i="1"/>
  <c r="I258" i="1"/>
  <c r="H258" i="1"/>
  <c r="G258" i="1"/>
  <c r="F258" i="1"/>
  <c r="J257" i="1"/>
  <c r="I257" i="1"/>
  <c r="H257" i="1"/>
  <c r="G257" i="1"/>
  <c r="F257" i="1"/>
  <c r="J256" i="1"/>
  <c r="I256" i="1"/>
  <c r="H256" i="1"/>
  <c r="G256" i="1"/>
  <c r="F256" i="1"/>
  <c r="J255" i="1"/>
  <c r="I255" i="1"/>
  <c r="H255" i="1"/>
  <c r="G255" i="1"/>
  <c r="F255" i="1"/>
  <c r="J254" i="1"/>
  <c r="I254" i="1"/>
  <c r="H254" i="1"/>
  <c r="G254" i="1"/>
  <c r="F254" i="1"/>
  <c r="J253" i="1"/>
  <c r="I253" i="1"/>
  <c r="H253" i="1"/>
  <c r="G253" i="1"/>
  <c r="F253" i="1"/>
  <c r="J252" i="1"/>
  <c r="I252" i="1"/>
  <c r="H252" i="1"/>
  <c r="G252" i="1"/>
  <c r="F252" i="1"/>
  <c r="J251" i="1"/>
  <c r="I251" i="1"/>
  <c r="H251" i="1"/>
  <c r="G251" i="1"/>
  <c r="F251" i="1"/>
  <c r="J250" i="1"/>
  <c r="I250" i="1"/>
  <c r="H250" i="1"/>
  <c r="G250" i="1"/>
  <c r="F250" i="1"/>
  <c r="N249" i="1"/>
  <c r="M249" i="1"/>
  <c r="J249" i="1"/>
  <c r="I249" i="1"/>
  <c r="H249" i="1"/>
  <c r="G249" i="1"/>
  <c r="F249" i="1"/>
  <c r="H248" i="1"/>
  <c r="G248" i="1"/>
  <c r="F248" i="1"/>
  <c r="N247" i="1"/>
  <c r="J247" i="1" s="1"/>
  <c r="M247" i="1"/>
  <c r="I247" i="1" s="1"/>
  <c r="H247" i="1"/>
  <c r="G247" i="1"/>
  <c r="F247" i="1"/>
  <c r="N246" i="1"/>
  <c r="J246" i="1" s="1"/>
  <c r="M246" i="1"/>
  <c r="I246" i="1" s="1"/>
  <c r="H246" i="1"/>
  <c r="G246" i="1"/>
  <c r="F246" i="1"/>
  <c r="N245" i="1"/>
  <c r="M245" i="1"/>
  <c r="J245" i="1"/>
  <c r="I245" i="1"/>
  <c r="H245" i="1"/>
  <c r="G245" i="1"/>
  <c r="F245" i="1"/>
  <c r="N244" i="1"/>
  <c r="M244" i="1"/>
  <c r="J244" i="1"/>
  <c r="I244" i="1"/>
  <c r="H244" i="1"/>
  <c r="G244" i="1"/>
  <c r="F244" i="1"/>
  <c r="N243" i="1"/>
  <c r="M243" i="1"/>
  <c r="J243" i="1"/>
  <c r="I243" i="1"/>
  <c r="H243" i="1"/>
  <c r="G243" i="1"/>
  <c r="F243" i="1"/>
  <c r="N242" i="1"/>
  <c r="M242" i="1"/>
  <c r="I242" i="1" s="1"/>
  <c r="J242" i="1"/>
  <c r="H242" i="1"/>
  <c r="G242" i="1"/>
  <c r="F242" i="1"/>
  <c r="N241" i="1"/>
  <c r="M241" i="1"/>
  <c r="I241" i="1" s="1"/>
  <c r="J241" i="1"/>
  <c r="H241" i="1"/>
  <c r="G241" i="1"/>
  <c r="F241" i="1"/>
  <c r="N240" i="1"/>
  <c r="J240" i="1" s="1"/>
  <c r="M240" i="1"/>
  <c r="I240" i="1"/>
  <c r="H240" i="1"/>
  <c r="G240" i="1"/>
  <c r="F240" i="1"/>
  <c r="N239" i="1"/>
  <c r="J239" i="1" s="1"/>
  <c r="M239" i="1"/>
  <c r="I239" i="1"/>
  <c r="H239" i="1"/>
  <c r="G239" i="1"/>
  <c r="F239" i="1"/>
  <c r="N238" i="1"/>
  <c r="M238" i="1"/>
  <c r="J238" i="1"/>
  <c r="I238" i="1"/>
  <c r="H238" i="1"/>
  <c r="G238" i="1"/>
  <c r="F238" i="1"/>
  <c r="N237" i="1"/>
  <c r="M237" i="1"/>
  <c r="J237" i="1"/>
  <c r="I237" i="1"/>
  <c r="H237" i="1"/>
  <c r="G237" i="1"/>
  <c r="F237" i="1"/>
  <c r="N236" i="1"/>
  <c r="M236" i="1"/>
  <c r="L236" i="1"/>
  <c r="K236" i="1"/>
  <c r="H236" i="1"/>
  <c r="G236" i="1"/>
  <c r="F236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J163" i="1"/>
  <c r="I163" i="1"/>
  <c r="H163" i="1"/>
  <c r="G163" i="1"/>
  <c r="F163" i="1"/>
  <c r="H162" i="1"/>
  <c r="G162" i="1"/>
  <c r="F162" i="1"/>
  <c r="H161" i="1"/>
  <c r="G161" i="1"/>
  <c r="F161" i="1"/>
  <c r="J160" i="1"/>
  <c r="I160" i="1"/>
  <c r="H160" i="1"/>
  <c r="G160" i="1"/>
  <c r="F160" i="1"/>
  <c r="J159" i="1"/>
  <c r="I159" i="1"/>
  <c r="H159" i="1"/>
  <c r="G159" i="1"/>
  <c r="F159" i="1"/>
  <c r="J158" i="1"/>
  <c r="I158" i="1"/>
  <c r="H158" i="1"/>
  <c r="G158" i="1"/>
  <c r="F158" i="1"/>
  <c r="H156" i="1"/>
  <c r="G156" i="1"/>
  <c r="F156" i="1"/>
  <c r="J155" i="1"/>
  <c r="I155" i="1"/>
  <c r="H155" i="1"/>
  <c r="G155" i="1"/>
  <c r="F155" i="1"/>
  <c r="J154" i="1"/>
  <c r="I154" i="1"/>
  <c r="H154" i="1"/>
  <c r="G154" i="1"/>
  <c r="F154" i="1"/>
  <c r="J153" i="1"/>
  <c r="I153" i="1"/>
  <c r="H153" i="1"/>
  <c r="G153" i="1"/>
  <c r="F153" i="1"/>
  <c r="J152" i="1"/>
  <c r="I152" i="1"/>
  <c r="H152" i="1"/>
  <c r="G152" i="1"/>
  <c r="F152" i="1"/>
  <c r="J151" i="1"/>
  <c r="I151" i="1"/>
  <c r="H151" i="1"/>
  <c r="G151" i="1"/>
  <c r="F151" i="1"/>
  <c r="J150" i="1"/>
  <c r="I150" i="1"/>
  <c r="H150" i="1"/>
  <c r="G150" i="1"/>
  <c r="F150" i="1"/>
  <c r="J149" i="1"/>
  <c r="I149" i="1"/>
  <c r="H149" i="1"/>
  <c r="G149" i="1"/>
  <c r="F149" i="1"/>
  <c r="J148" i="1"/>
  <c r="I148" i="1"/>
  <c r="H148" i="1"/>
  <c r="G148" i="1"/>
  <c r="F148" i="1"/>
  <c r="J147" i="1"/>
  <c r="I147" i="1"/>
  <c r="H147" i="1"/>
  <c r="G147" i="1"/>
  <c r="F147" i="1"/>
  <c r="J146" i="1"/>
  <c r="I146" i="1"/>
  <c r="H146" i="1"/>
  <c r="G146" i="1"/>
  <c r="F146" i="1"/>
  <c r="J145" i="1"/>
  <c r="I145" i="1"/>
  <c r="H145" i="1"/>
  <c r="G145" i="1"/>
  <c r="F145" i="1"/>
  <c r="J143" i="1"/>
  <c r="I143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J131" i="1"/>
  <c r="I131" i="1"/>
  <c r="G131" i="1"/>
  <c r="F131" i="1"/>
  <c r="J130" i="1"/>
  <c r="I130" i="1"/>
  <c r="H130" i="1"/>
  <c r="G130" i="1"/>
  <c r="F130" i="1"/>
  <c r="J129" i="1"/>
  <c r="I129" i="1"/>
  <c r="H129" i="1"/>
  <c r="G129" i="1"/>
  <c r="F129" i="1"/>
  <c r="J128" i="1"/>
  <c r="I128" i="1"/>
  <c r="H128" i="1"/>
  <c r="G128" i="1"/>
  <c r="F128" i="1"/>
  <c r="J127" i="1"/>
  <c r="I127" i="1"/>
  <c r="H127" i="1"/>
  <c r="G127" i="1"/>
  <c r="F127" i="1"/>
  <c r="J126" i="1"/>
  <c r="I126" i="1"/>
  <c r="H126" i="1"/>
  <c r="G126" i="1"/>
  <c r="F126" i="1"/>
  <c r="J125" i="1"/>
  <c r="I125" i="1"/>
  <c r="H125" i="1"/>
  <c r="G125" i="1"/>
  <c r="F125" i="1"/>
  <c r="J124" i="1"/>
  <c r="I124" i="1"/>
  <c r="H124" i="1"/>
  <c r="G124" i="1"/>
  <c r="F124" i="1"/>
  <c r="J123" i="1"/>
  <c r="I123" i="1"/>
  <c r="H123" i="1"/>
  <c r="G123" i="1"/>
  <c r="F123" i="1"/>
  <c r="J122" i="1"/>
  <c r="I122" i="1"/>
  <c r="H122" i="1"/>
  <c r="G122" i="1"/>
  <c r="F122" i="1"/>
  <c r="J121" i="1"/>
  <c r="I121" i="1"/>
  <c r="H121" i="1"/>
  <c r="G121" i="1"/>
  <c r="F121" i="1"/>
  <c r="J120" i="1"/>
  <c r="I120" i="1"/>
  <c r="H120" i="1"/>
  <c r="G120" i="1"/>
  <c r="F120" i="1"/>
  <c r="J119" i="1"/>
  <c r="I119" i="1"/>
  <c r="H119" i="1"/>
  <c r="G119" i="1"/>
  <c r="F119" i="1"/>
  <c r="J118" i="1"/>
  <c r="I118" i="1"/>
  <c r="G118" i="1"/>
  <c r="F118" i="1"/>
  <c r="J117" i="1"/>
  <c r="I117" i="1"/>
  <c r="H117" i="1"/>
  <c r="G117" i="1"/>
  <c r="F117" i="1"/>
  <c r="J116" i="1"/>
  <c r="I116" i="1"/>
  <c r="H116" i="1"/>
  <c r="G116" i="1"/>
  <c r="F116" i="1"/>
  <c r="J115" i="1"/>
  <c r="I115" i="1"/>
  <c r="H115" i="1"/>
  <c r="G115" i="1"/>
  <c r="F115" i="1"/>
  <c r="J114" i="1"/>
  <c r="I114" i="1"/>
  <c r="H114" i="1"/>
  <c r="G114" i="1"/>
  <c r="F114" i="1"/>
  <c r="J113" i="1"/>
  <c r="I113" i="1"/>
  <c r="H113" i="1"/>
  <c r="G113" i="1"/>
  <c r="F113" i="1"/>
  <c r="J112" i="1"/>
  <c r="I112" i="1"/>
  <c r="H112" i="1"/>
  <c r="G112" i="1"/>
  <c r="F112" i="1"/>
  <c r="J111" i="1"/>
  <c r="I111" i="1"/>
  <c r="H111" i="1"/>
  <c r="G111" i="1"/>
  <c r="F111" i="1"/>
  <c r="J110" i="1"/>
  <c r="I110" i="1"/>
  <c r="H110" i="1"/>
  <c r="G110" i="1"/>
  <c r="F110" i="1"/>
  <c r="J109" i="1"/>
  <c r="I109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1" i="1"/>
  <c r="G91" i="1"/>
  <c r="F91" i="1"/>
  <c r="F79" i="1" s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J79" i="1"/>
  <c r="I79" i="1"/>
  <c r="H79" i="1"/>
  <c r="G79" i="1"/>
  <c r="J78" i="1"/>
  <c r="I78" i="1"/>
  <c r="H78" i="1"/>
  <c r="G78" i="1"/>
  <c r="F78" i="1"/>
  <c r="J77" i="1"/>
  <c r="I77" i="1"/>
  <c r="H77" i="1"/>
  <c r="G77" i="1"/>
  <c r="F77" i="1"/>
  <c r="J76" i="1"/>
  <c r="I76" i="1"/>
  <c r="H76" i="1"/>
  <c r="G76" i="1"/>
  <c r="F76" i="1"/>
  <c r="J75" i="1"/>
  <c r="I75" i="1"/>
  <c r="H75" i="1"/>
  <c r="G75" i="1"/>
  <c r="F75" i="1"/>
  <c r="J74" i="1"/>
  <c r="I74" i="1"/>
  <c r="H74" i="1"/>
  <c r="G74" i="1"/>
  <c r="F74" i="1"/>
  <c r="J73" i="1"/>
  <c r="I73" i="1"/>
  <c r="H73" i="1"/>
  <c r="G73" i="1"/>
  <c r="F73" i="1"/>
  <c r="J72" i="1"/>
  <c r="I72" i="1"/>
  <c r="H72" i="1"/>
  <c r="G72" i="1"/>
  <c r="F72" i="1"/>
  <c r="J71" i="1"/>
  <c r="I71" i="1"/>
  <c r="H71" i="1"/>
  <c r="G71" i="1"/>
  <c r="F71" i="1"/>
  <c r="J70" i="1"/>
  <c r="I70" i="1"/>
  <c r="H70" i="1"/>
  <c r="G70" i="1"/>
  <c r="F70" i="1"/>
  <c r="J69" i="1"/>
  <c r="I69" i="1"/>
  <c r="H69" i="1"/>
  <c r="G69" i="1"/>
  <c r="F69" i="1"/>
  <c r="J68" i="1"/>
  <c r="I68" i="1"/>
  <c r="H68" i="1"/>
  <c r="G68" i="1"/>
  <c r="F68" i="1"/>
  <c r="J67" i="1"/>
  <c r="I67" i="1"/>
  <c r="H67" i="1"/>
  <c r="G67" i="1"/>
  <c r="F67" i="1"/>
  <c r="J66" i="1"/>
  <c r="I66" i="1"/>
  <c r="H66" i="1"/>
  <c r="G66" i="1"/>
  <c r="F66" i="1"/>
  <c r="J65" i="1"/>
  <c r="J53" i="1" s="1"/>
  <c r="I65" i="1"/>
  <c r="H65" i="1"/>
  <c r="H53" i="1" s="1"/>
  <c r="G65" i="1"/>
  <c r="G53" i="1" s="1"/>
  <c r="F65" i="1"/>
  <c r="J64" i="1"/>
  <c r="I64" i="1"/>
  <c r="H64" i="1"/>
  <c r="G64" i="1"/>
  <c r="F64" i="1"/>
  <c r="J63" i="1"/>
  <c r="I63" i="1"/>
  <c r="H63" i="1"/>
  <c r="G63" i="1"/>
  <c r="F63" i="1"/>
  <c r="J62" i="1"/>
  <c r="I62" i="1"/>
  <c r="H62" i="1"/>
  <c r="G62" i="1"/>
  <c r="F62" i="1"/>
  <c r="J61" i="1"/>
  <c r="I61" i="1"/>
  <c r="H61" i="1"/>
  <c r="G61" i="1"/>
  <c r="F61" i="1"/>
  <c r="J60" i="1"/>
  <c r="I60" i="1"/>
  <c r="H60" i="1"/>
  <c r="G60" i="1"/>
  <c r="F60" i="1"/>
  <c r="CF59" i="1"/>
  <c r="J59" i="1"/>
  <c r="I59" i="1"/>
  <c r="H59" i="1"/>
  <c r="G59" i="1"/>
  <c r="F59" i="1"/>
  <c r="CF58" i="1"/>
  <c r="J58" i="1"/>
  <c r="I58" i="1"/>
  <c r="H58" i="1"/>
  <c r="G58" i="1"/>
  <c r="F58" i="1"/>
  <c r="CF57" i="1"/>
  <c r="J57" i="1"/>
  <c r="I57" i="1"/>
  <c r="H57" i="1"/>
  <c r="G57" i="1"/>
  <c r="F57" i="1"/>
  <c r="CF56" i="1"/>
  <c r="J56" i="1"/>
  <c r="I56" i="1"/>
  <c r="H56" i="1"/>
  <c r="G56" i="1"/>
  <c r="F56" i="1"/>
  <c r="CF55" i="1"/>
  <c r="J55" i="1"/>
  <c r="I55" i="1"/>
  <c r="H55" i="1"/>
  <c r="G55" i="1"/>
  <c r="F55" i="1"/>
  <c r="CF54" i="1"/>
  <c r="J54" i="1"/>
  <c r="I54" i="1"/>
  <c r="H54" i="1"/>
  <c r="G54" i="1"/>
  <c r="F54" i="1"/>
  <c r="I53" i="1"/>
  <c r="F53" i="1"/>
  <c r="CE52" i="1"/>
  <c r="CF52" i="1" s="1"/>
  <c r="H52" i="1"/>
  <c r="G52" i="1"/>
  <c r="F52" i="1"/>
  <c r="CF51" i="1"/>
  <c r="H51" i="1"/>
  <c r="G51" i="1"/>
  <c r="F51" i="1"/>
  <c r="CF50" i="1"/>
  <c r="H50" i="1"/>
  <c r="G50" i="1"/>
  <c r="F50" i="1"/>
  <c r="H49" i="1"/>
  <c r="G49" i="1"/>
  <c r="F49" i="1"/>
  <c r="CF48" i="1"/>
  <c r="CE48" i="1"/>
  <c r="H48" i="1"/>
  <c r="G48" i="1"/>
  <c r="F48" i="1"/>
  <c r="CE47" i="1"/>
  <c r="CF47" i="1" s="1"/>
  <c r="H47" i="1"/>
  <c r="G47" i="1"/>
  <c r="F47" i="1"/>
  <c r="H46" i="1"/>
  <c r="G46" i="1"/>
  <c r="F46" i="1"/>
  <c r="CF45" i="1"/>
  <c r="H45" i="1"/>
  <c r="G45" i="1"/>
  <c r="F45" i="1"/>
  <c r="H44" i="1"/>
  <c r="G44" i="1"/>
  <c r="F44" i="1"/>
  <c r="CF43" i="1"/>
  <c r="H43" i="1"/>
  <c r="G43" i="1"/>
  <c r="F43" i="1"/>
  <c r="CF42" i="1"/>
  <c r="H42" i="1"/>
  <c r="G42" i="1"/>
  <c r="F42" i="1"/>
  <c r="H41" i="1"/>
  <c r="G41" i="1"/>
  <c r="F41" i="1"/>
  <c r="CF40" i="1"/>
  <c r="J40" i="1"/>
  <c r="I40" i="1"/>
  <c r="H40" i="1"/>
  <c r="G40" i="1"/>
  <c r="F40" i="1"/>
  <c r="CF39" i="1"/>
  <c r="H39" i="1"/>
  <c r="G39" i="1"/>
  <c r="G27" i="1" s="1"/>
  <c r="F39" i="1"/>
  <c r="F27" i="1" s="1"/>
  <c r="H38" i="1"/>
  <c r="G38" i="1"/>
  <c r="F38" i="1"/>
  <c r="CF37" i="1"/>
  <c r="H37" i="1"/>
  <c r="G37" i="1"/>
  <c r="F37" i="1"/>
  <c r="CF36" i="1"/>
  <c r="H36" i="1"/>
  <c r="G36" i="1"/>
  <c r="F36" i="1"/>
  <c r="H35" i="1"/>
  <c r="G35" i="1"/>
  <c r="F35" i="1"/>
  <c r="CF34" i="1"/>
  <c r="H34" i="1"/>
  <c r="G34" i="1"/>
  <c r="F34" i="1"/>
  <c r="CF33" i="1"/>
  <c r="H33" i="1"/>
  <c r="G33" i="1"/>
  <c r="F33" i="1"/>
  <c r="H32" i="1"/>
  <c r="G32" i="1"/>
  <c r="F32" i="1"/>
  <c r="CE31" i="1"/>
  <c r="CF31" i="1" s="1"/>
  <c r="H31" i="1"/>
  <c r="G31" i="1"/>
  <c r="F31" i="1"/>
  <c r="H30" i="1"/>
  <c r="G30" i="1"/>
  <c r="F30" i="1"/>
  <c r="CF29" i="1"/>
  <c r="H29" i="1"/>
  <c r="G29" i="1"/>
  <c r="F29" i="1"/>
  <c r="CF28" i="1"/>
  <c r="H28" i="1"/>
  <c r="G28" i="1"/>
  <c r="F28" i="1"/>
  <c r="J27" i="1"/>
  <c r="I27" i="1"/>
  <c r="H27" i="1"/>
  <c r="H26" i="1"/>
  <c r="G26" i="1"/>
  <c r="F26" i="1"/>
  <c r="H25" i="1"/>
  <c r="G25" i="1"/>
  <c r="F25" i="1"/>
  <c r="CF24" i="1"/>
  <c r="H24" i="1"/>
  <c r="G24" i="1"/>
  <c r="F24" i="1"/>
  <c r="CF23" i="1"/>
  <c r="H23" i="1"/>
  <c r="G23" i="1"/>
  <c r="F23" i="1"/>
  <c r="H22" i="1"/>
  <c r="G22" i="1"/>
  <c r="F22" i="1"/>
  <c r="CE21" i="1"/>
  <c r="CF21" i="1" s="1"/>
  <c r="H20" i="1"/>
  <c r="G20" i="1"/>
  <c r="F20" i="1"/>
  <c r="CF19" i="1"/>
  <c r="F19" i="1"/>
  <c r="D19" i="1"/>
  <c r="C19" i="1"/>
  <c r="H19" i="1" s="1"/>
  <c r="B19" i="1"/>
  <c r="CF18" i="1"/>
  <c r="E18" i="1"/>
  <c r="F18" i="1" s="1"/>
  <c r="D18" i="1"/>
  <c r="C18" i="1"/>
  <c r="G18" i="1" s="1"/>
  <c r="B18" i="1"/>
  <c r="H18" i="1" s="1"/>
  <c r="H17" i="1"/>
  <c r="E17" i="1"/>
  <c r="D17" i="1"/>
  <c r="F17" i="1" s="1"/>
  <c r="C17" i="1"/>
  <c r="G17" i="1" s="1"/>
  <c r="B17" i="1"/>
  <c r="A17" i="1"/>
  <c r="A18" i="1" s="1"/>
  <c r="A19" i="1" s="1"/>
  <c r="A20" i="1" s="1"/>
  <c r="A22" i="1" s="1"/>
  <c r="A23" i="1" s="1"/>
  <c r="A24" i="1" s="1"/>
  <c r="A25" i="1" s="1"/>
  <c r="A26" i="1" s="1"/>
  <c r="CE16" i="1"/>
  <c r="CF16" i="1" s="1"/>
  <c r="H16" i="1"/>
  <c r="G16" i="1"/>
  <c r="F16" i="1"/>
  <c r="E16" i="1"/>
  <c r="D16" i="1"/>
  <c r="C16" i="1"/>
  <c r="B16" i="1"/>
  <c r="CF14" i="1"/>
  <c r="CF13" i="1"/>
  <c r="CF11" i="1"/>
  <c r="CE11" i="1"/>
  <c r="CE9" i="1"/>
  <c r="CF9" i="1" s="1"/>
  <c r="CE7" i="1"/>
  <c r="CF7" i="1" s="1"/>
  <c r="CA7" i="1"/>
  <c r="G19" i="1" l="1"/>
  <c r="CE61" i="1"/>
  <c r="CF61" i="1" s="1"/>
</calcChain>
</file>

<file path=xl/sharedStrings.xml><?xml version="1.0" encoding="utf-8"?>
<sst xmlns="http://schemas.openxmlformats.org/spreadsheetml/2006/main" count="283" uniqueCount="63">
  <si>
    <r>
      <t xml:space="preserve">Cədvəl 2.4. Pul aqreqatları </t>
    </r>
    <r>
      <rPr>
        <b/>
        <i/>
        <sz val="16"/>
        <color rgb="FF366092"/>
        <rFont val="Times New Roman"/>
        <family val="1"/>
      </rPr>
      <t>(dövrün sonuna)</t>
    </r>
  </si>
  <si>
    <r>
      <t xml:space="preserve">  Table 2.4. Money aggregates </t>
    </r>
    <r>
      <rPr>
        <i/>
        <sz val="16"/>
        <color rgb="FF366092"/>
        <rFont val="Times New Roman"/>
        <family val="1"/>
      </rPr>
      <t>(end of period)</t>
    </r>
  </si>
  <si>
    <t>mln. manat</t>
  </si>
  <si>
    <t>Tarix</t>
  </si>
  <si>
    <t>Geniş mənada pul kütləsi (M3)</t>
  </si>
  <si>
    <t>o cümlədən</t>
  </si>
  <si>
    <t>Pul multiplikatoru</t>
  </si>
  <si>
    <t>RIV,2017     QIV,2017</t>
  </si>
  <si>
    <t>2017 ILLIK</t>
  </si>
  <si>
    <t>M2 pul aqreqatı</t>
  </si>
  <si>
    <t xml:space="preserve">o cümlədən </t>
  </si>
  <si>
    <t>SDV-də depozitlər*</t>
  </si>
  <si>
    <t>M3 pul aqreqatının pul bazasına nisbəti</t>
  </si>
  <si>
    <t>M2 pul aqreqatının manatla pul bazasına nisbəti</t>
  </si>
  <si>
    <t>M1 pul aqreqatı</t>
  </si>
  <si>
    <t>Manatla müddətli depozitlər*</t>
  </si>
  <si>
    <t>Banklardan kənarda nağd pul(M0)</t>
  </si>
  <si>
    <t>Manatla tələb edilənədək depozitlər*</t>
  </si>
  <si>
    <t>Date</t>
  </si>
  <si>
    <t>Broad Money Supply (M3)</t>
  </si>
  <si>
    <t xml:space="preserve"> of which</t>
  </si>
  <si>
    <t>Money multiplier</t>
  </si>
  <si>
    <t>M2 money aggregate</t>
  </si>
  <si>
    <t>Deposits in hard currency*</t>
  </si>
  <si>
    <t xml:space="preserve"> Ratio of M3 to Reserve money</t>
  </si>
  <si>
    <t>Ratio of M2 to manat Reserve money</t>
  </si>
  <si>
    <t>M1 money aggregate</t>
  </si>
  <si>
    <t>of which</t>
  </si>
  <si>
    <t>Time deposits in manat*</t>
  </si>
  <si>
    <t>Cash outside banks (M0)</t>
  </si>
  <si>
    <t>Demand deposits in manat*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</si>
  <si>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</si>
  <si>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</si>
  <si>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</si>
  <si>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</si>
  <si>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</si>
  <si>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</si>
  <si>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</si>
  <si>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</si>
  <si>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</si>
  <si>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</si>
  <si>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</si>
  <si>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</si>
  <si>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</si>
  <si>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</si>
  <si>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</si>
  <si>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</si>
  <si>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</si>
  <si>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</si>
  <si>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</si>
  <si>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</si>
  <si>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</si>
  <si>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</si>
  <si>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</si>
  <si>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</si>
  <si>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</si>
  <si>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</si>
  <si>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</si>
  <si>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</si>
  <si>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</si>
  <si>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t xml:space="preserve">* Qeyri-rezidentlərin və dövlət idarəetmə orqanlarının depozitləri daxil olmadan / </t>
    </r>
    <r>
      <rPr>
        <i/>
        <sz val="11.5"/>
        <color theme="8" tint="-0.249977111117893"/>
        <rFont val="Times New Roman"/>
        <family val="1"/>
      </rPr>
      <t xml:space="preserve">The deposits of non-residents and central government are excluded </t>
    </r>
  </si>
  <si>
    <r>
      <t xml:space="preserve">Mənbə: Azərbaycan Respublikasının Mərkəzi Bankı / </t>
    </r>
    <r>
      <rPr>
        <i/>
        <sz val="11.5"/>
        <color theme="8" tint="-0.249977111117893"/>
        <rFont val="Times New Roman"/>
        <family val="1"/>
      </rPr>
      <t>Source: The Central Bank of the Republic of Azerbaijan</t>
    </r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</si>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</sst>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20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6"/>
      <color rgb="FF366092"/>
      <name val="Times New Roman"/>
      <family val="1"/>
    </font>
    <font>
      <b/>
      <i/>
      <sz val="16"/>
      <color rgb="FF36609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rgb="FF366092"/>
      <name val="Times New Roman"/>
      <family val="1"/>
    </font>
    <font>
      <i/>
      <sz val="16"/>
      <color rgb="FF366092"/>
      <name val="Times New Roman"/>
      <family val="1"/>
    </font>
    <font>
      <sz val="12"/>
      <color rgb="FF366092"/>
      <name val="Times New Roman"/>
      <family val="1"/>
    </font>
    <font>
      <b/>
      <sz val="14"/>
      <color theme="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162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  <charset val="162"/>
    </font>
    <font>
      <b/>
      <i/>
      <sz val="11.5"/>
      <color theme="8" tint="-0.249977111117893"/>
      <name val="Times New Roman"/>
      <family val="1"/>
    </font>
    <font>
      <i/>
      <sz val="11.5"/>
      <color theme="8" tint="-0.249977111117893"/>
      <name val="Times New Roman"/>
      <family val="1"/>
    </font>
    <font>
      <b/>
      <i/>
      <sz val="12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0" fontId="8" fillId="2" borderId="0" xfId="1" applyFont="1" applyFill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5" borderId="0" xfId="1" applyFont="1" applyFill="1" applyAlignment="1">
      <alignment horizontal="center" vertical="center" wrapText="1"/>
    </xf>
    <xf numFmtId="0" fontId="5" fillId="5" borderId="0" xfId="1" applyFont="1" applyFill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 wrapText="1"/>
    </xf>
    <xf numFmtId="2" fontId="5" fillId="0" borderId="0" xfId="1" applyNumberFormat="1" applyFont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2" fontId="11" fillId="0" borderId="7" xfId="1" applyNumberFormat="1" applyFont="1" applyBorder="1" applyAlignment="1">
      <alignment horizontal="center" vertical="center" wrapText="1"/>
    </xf>
    <xf numFmtId="2" fontId="11" fillId="0" borderId="0" xfId="1" applyNumberFormat="1" applyFont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164" fontId="11" fillId="0" borderId="8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164" fontId="11" fillId="0" borderId="8" xfId="1" applyNumberFormat="1" applyFont="1" applyBorder="1" applyAlignment="1">
      <alignment horizontal="center" vertical="center"/>
    </xf>
    <xf numFmtId="2" fontId="11" fillId="0" borderId="8" xfId="1" applyNumberFormat="1" applyFont="1" applyBorder="1" applyAlignment="1">
      <alignment horizontal="center" vertical="center"/>
    </xf>
    <xf numFmtId="2" fontId="11" fillId="0" borderId="0" xfId="1" applyNumberFormat="1" applyFont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/>
    </xf>
    <xf numFmtId="164" fontId="5" fillId="0" borderId="8" xfId="2" applyNumberFormat="1" applyFont="1" applyBorder="1" applyAlignment="1">
      <alignment horizontal="center" vertical="center"/>
    </xf>
    <xf numFmtId="2" fontId="5" fillId="0" borderId="8" xfId="2" applyNumberFormat="1" applyFont="1" applyBorder="1" applyAlignment="1">
      <alignment horizontal="center" vertical="center" wrapText="1"/>
    </xf>
    <xf numFmtId="2" fontId="5" fillId="0" borderId="0" xfId="2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/>
    </xf>
    <xf numFmtId="2" fontId="4" fillId="0" borderId="8" xfId="2" applyNumberFormat="1" applyFont="1" applyBorder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 wrapText="1"/>
    </xf>
    <xf numFmtId="2" fontId="12" fillId="0" borderId="8" xfId="2" applyNumberFormat="1" applyFont="1" applyBorder="1" applyAlignment="1">
      <alignment horizontal="center" vertical="center" wrapText="1"/>
    </xf>
    <xf numFmtId="2" fontId="12" fillId="0" borderId="0" xfId="2" applyNumberFormat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2" fontId="5" fillId="0" borderId="8" xfId="2" applyNumberFormat="1" applyFont="1" applyBorder="1" applyAlignment="1">
      <alignment horizontal="center" vertical="center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2" fontId="14" fillId="0" borderId="8" xfId="2" applyNumberFormat="1" applyFont="1" applyBorder="1" applyAlignment="1">
      <alignment horizontal="center" vertical="center" wrapText="1"/>
    </xf>
    <xf numFmtId="2" fontId="14" fillId="0" borderId="0" xfId="2" applyNumberFormat="1" applyFont="1" applyAlignment="1">
      <alignment horizontal="center" vertical="center" wrapText="1"/>
    </xf>
    <xf numFmtId="2" fontId="13" fillId="0" borderId="8" xfId="2" applyNumberFormat="1" applyFont="1" applyBorder="1" applyAlignment="1">
      <alignment horizontal="center" vertical="center" wrapText="1"/>
    </xf>
    <xf numFmtId="2" fontId="13" fillId="0" borderId="0" xfId="2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/>
    </xf>
    <xf numFmtId="164" fontId="5" fillId="0" borderId="9" xfId="2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 wrapText="1"/>
    </xf>
    <xf numFmtId="2" fontId="5" fillId="0" borderId="9" xfId="2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</cellXfs>
  <cellStyles count="3">
    <cellStyle name="Normal" xfId="0" builtinId="0"/>
    <cellStyle name="Normal 2" xfId="2" xr:uid="{C3F2932E-C8E9-4AAA-BBF8-EA58AD5B28E6}"/>
    <cellStyle name="Normal 3" xfId="1" xr:uid="{4A24E8A5-BED4-4648-903F-AD8CF25F28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&#252;lleten%2002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ündəricat"/>
      <sheetName val="Table of contents"/>
      <sheetName val="1.1"/>
      <sheetName val="1.2"/>
      <sheetName val="1.3"/>
      <sheetName val="1.4"/>
      <sheetName val="1.5"/>
      <sheetName val="1.6"/>
      <sheetName val="1.6.1"/>
      <sheetName val="2.1"/>
      <sheetName val="2.2"/>
      <sheetName val="2.3"/>
      <sheetName val="2.4"/>
      <sheetName val="2.5"/>
      <sheetName val="2.6"/>
      <sheetName val="2.7"/>
      <sheetName val="2.7.d."/>
      <sheetName val="2.7.1"/>
      <sheetName val="2.8"/>
      <sheetName val="2.8.d."/>
      <sheetName val="2.8.1"/>
      <sheetName val="2.8.2"/>
      <sheetName val="2.8.3"/>
      <sheetName val="2.8.4"/>
      <sheetName val="2.8.5"/>
      <sheetName val="2.8.6"/>
      <sheetName val="2.8.7"/>
      <sheetName val="2.8.8"/>
      <sheetName val="2.8.9"/>
      <sheetName val="2.9"/>
      <sheetName val="2.10"/>
      <sheetName val="2.11"/>
      <sheetName val="2.12"/>
      <sheetName val="2.13"/>
      <sheetName val="2.14"/>
      <sheetName val="2.15"/>
      <sheetName val="2.16"/>
      <sheetName val="2.16.1"/>
      <sheetName val="3.1 "/>
      <sheetName val="3.2"/>
      <sheetName val="3.2.1"/>
      <sheetName val="3.3 "/>
      <sheetName val="3.4"/>
      <sheetName val="3.5"/>
      <sheetName val="3.6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5.1"/>
      <sheetName val="5.2"/>
      <sheetName val="5.3"/>
      <sheetName val="5.4"/>
      <sheetName val="5.5"/>
      <sheetName val="5.6"/>
      <sheetName val="5.7"/>
      <sheetName val="6.1"/>
      <sheetName val="6.2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9">
          <cell r="B229">
            <v>14109.267730200003</v>
          </cell>
          <cell r="C229">
            <v>12782.042175830002</v>
          </cell>
        </row>
        <row r="230">
          <cell r="B230">
            <v>14148.474008169998</v>
          </cell>
          <cell r="C230">
            <v>12862.995351079999</v>
          </cell>
        </row>
        <row r="231">
          <cell r="B231">
            <v>14820.991516580003</v>
          </cell>
          <cell r="C231">
            <v>13314.967326430002</v>
          </cell>
        </row>
        <row r="232">
          <cell r="B232">
            <v>14692.819125990001</v>
          </cell>
          <cell r="C232">
            <v>13281.584169410002</v>
          </cell>
        </row>
        <row r="233">
          <cell r="B233">
            <v>15189.946663819999</v>
          </cell>
          <cell r="C233">
            <v>13856.76540126</v>
          </cell>
        </row>
        <row r="234">
          <cell r="B234">
            <v>15181.921383729999</v>
          </cell>
          <cell r="C234">
            <v>13802.977317270001</v>
          </cell>
        </row>
        <row r="235">
          <cell r="B235">
            <v>15643.82057193</v>
          </cell>
          <cell r="C235">
            <v>14213.38429102</v>
          </cell>
        </row>
        <row r="236">
          <cell r="B236">
            <v>15460.227133350001</v>
          </cell>
          <cell r="C236">
            <v>14172.33178405</v>
          </cell>
        </row>
        <row r="237">
          <cell r="B237">
            <v>15724.71971781</v>
          </cell>
          <cell r="C237">
            <v>14498.74134884</v>
          </cell>
        </row>
        <row r="238">
          <cell r="B238">
            <v>16065.780464840003</v>
          </cell>
          <cell r="C238">
            <v>14621.233465130003</v>
          </cell>
        </row>
        <row r="239">
          <cell r="B239">
            <v>15487.161826160002</v>
          </cell>
          <cell r="C239">
            <v>14279.102331930002</v>
          </cell>
        </row>
        <row r="240">
          <cell r="B240">
            <v>19761.4066164</v>
          </cell>
          <cell r="C240">
            <v>17937.554502260002</v>
          </cell>
        </row>
        <row r="242">
          <cell r="B242">
            <v>15421.207929630002</v>
          </cell>
          <cell r="C242">
            <v>14044.248861950002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4FED-9C7F-4811-B47D-34D36FE0D243}">
  <sheetPr codeName="Sheet11">
    <tabColor rgb="FF92D050"/>
  </sheetPr>
  <dimension ref="A2:CF280"/>
  <sheetViews>
    <sheetView showGridLines="0" tabSelected="1" view="pageBreakPreview" zoomScale="85" zoomScaleSheetLayoutView="85" workbookViewId="0">
      <pane ySplit="39" topLeftCell="A257" activePane="bottomLeft" state="frozen"/>
      <selection activeCell="G291" sqref="G291"/>
      <selection pane="bottomLeft" activeCell="P278" sqref="P278"/>
    </sheetView>
  </sheetViews>
  <sheetFormatPr defaultColWidth="8.88671875" defaultRowHeight="12.9" customHeight="1" x14ac:dyDescent="0.25"/>
  <cols>
    <col min="1" max="1" width="10.6640625" style="9" customWidth="1"/>
    <col min="2" max="2" width="15" style="10" customWidth="1"/>
    <col min="3" max="4" width="16.6640625" style="10" customWidth="1"/>
    <col min="5" max="6" width="21.44140625" style="10" customWidth="1"/>
    <col min="7" max="8" width="16.6640625" style="10" customWidth="1"/>
    <col min="9" max="10" width="19.44140625" style="10" customWidth="1"/>
    <col min="11" max="12" width="17.88671875" style="10" hidden="1" customWidth="1"/>
    <col min="13" max="13" width="11.6640625" style="10" hidden="1" customWidth="1"/>
    <col min="14" max="14" width="13.6640625" style="10" hidden="1" customWidth="1"/>
    <col min="15" max="15" width="8.88671875" style="10"/>
    <col min="16" max="16" width="13.6640625" style="10" bestFit="1" customWidth="1"/>
    <col min="17" max="81" width="8.88671875" style="10"/>
    <col min="82" max="82" width="0" style="10" hidden="1" customWidth="1"/>
    <col min="83" max="16384" width="8.88671875" style="10"/>
  </cols>
  <sheetData>
    <row r="2" spans="1:84" s="3" customFormat="1" ht="22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84" s="3" customFormat="1" ht="29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84" s="3" customFormat="1" ht="17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84" s="3" customFormat="1" ht="17.25" customHeight="1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</row>
    <row r="6" spans="1:84" ht="15.75" customHeight="1" x14ac:dyDescent="0.25">
      <c r="A6" s="8" t="s">
        <v>3</v>
      </c>
      <c r="B6" s="8" t="s">
        <v>4</v>
      </c>
      <c r="C6" s="8" t="s">
        <v>5</v>
      </c>
      <c r="D6" s="8"/>
      <c r="E6" s="8"/>
      <c r="F6" s="8"/>
      <c r="G6" s="8"/>
      <c r="H6" s="8"/>
      <c r="I6" s="8" t="s">
        <v>6</v>
      </c>
      <c r="J6" s="8"/>
      <c r="K6" s="9"/>
      <c r="L6" s="9"/>
      <c r="CE6" s="11" t="s">
        <v>7</v>
      </c>
      <c r="CF6" s="12" t="s">
        <v>8</v>
      </c>
    </row>
    <row r="7" spans="1:84" ht="15.6" x14ac:dyDescent="0.25">
      <c r="A7" s="8"/>
      <c r="B7" s="8"/>
      <c r="C7" s="8" t="s">
        <v>9</v>
      </c>
      <c r="D7" s="8" t="s">
        <v>10</v>
      </c>
      <c r="E7" s="8"/>
      <c r="F7" s="8"/>
      <c r="G7" s="8"/>
      <c r="H7" s="8" t="s">
        <v>11</v>
      </c>
      <c r="I7" s="8" t="s">
        <v>12</v>
      </c>
      <c r="J7" s="8" t="s">
        <v>13</v>
      </c>
      <c r="K7" s="9"/>
      <c r="L7" s="9"/>
      <c r="CA7" s="10">
        <f>CA9+CA21+CA31+CA39</f>
        <v>0</v>
      </c>
      <c r="CE7" s="10">
        <f>CE9+CE21+CE31+CE39</f>
        <v>622</v>
      </c>
      <c r="CF7" s="13">
        <f>CA7+CB7+CC7+CE7</f>
        <v>622</v>
      </c>
    </row>
    <row r="8" spans="1:84" ht="15.6" x14ac:dyDescent="0.25">
      <c r="A8" s="8"/>
      <c r="B8" s="8"/>
      <c r="C8" s="8"/>
      <c r="D8" s="8" t="s">
        <v>14</v>
      </c>
      <c r="E8" s="8" t="s">
        <v>5</v>
      </c>
      <c r="F8" s="8"/>
      <c r="G8" s="8" t="s">
        <v>15</v>
      </c>
      <c r="H8" s="8"/>
      <c r="I8" s="8"/>
      <c r="J8" s="8"/>
      <c r="K8" s="9"/>
      <c r="L8" s="9"/>
      <c r="CF8" s="13"/>
    </row>
    <row r="9" spans="1:84" ht="15.6" x14ac:dyDescent="0.25">
      <c r="A9" s="8"/>
      <c r="B9" s="8"/>
      <c r="C9" s="8"/>
      <c r="D9" s="8"/>
      <c r="E9" s="8" t="s">
        <v>16</v>
      </c>
      <c r="F9" s="8" t="s">
        <v>17</v>
      </c>
      <c r="G9" s="8"/>
      <c r="H9" s="8"/>
      <c r="I9" s="8"/>
      <c r="J9" s="8"/>
      <c r="K9" s="9"/>
      <c r="L9" s="9"/>
      <c r="CE9" s="10">
        <f>CE11+CE16</f>
        <v>1713</v>
      </c>
      <c r="CF9" s="13">
        <f>CA9+CB9+CC9+CE9</f>
        <v>1713</v>
      </c>
    </row>
    <row r="10" spans="1:84" ht="30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CF10" s="13"/>
    </row>
    <row r="11" spans="1:84" ht="15.6" x14ac:dyDescent="0.25">
      <c r="A11" s="14" t="s">
        <v>18</v>
      </c>
      <c r="B11" s="14" t="s">
        <v>19</v>
      </c>
      <c r="C11" s="14" t="s">
        <v>20</v>
      </c>
      <c r="D11" s="14"/>
      <c r="E11" s="14"/>
      <c r="F11" s="14"/>
      <c r="G11" s="14"/>
      <c r="H11" s="14"/>
      <c r="I11" s="14" t="s">
        <v>21</v>
      </c>
      <c r="J11" s="14"/>
      <c r="CE11" s="10">
        <f>CE13+CE14</f>
        <v>4361</v>
      </c>
      <c r="CF11" s="13">
        <f>CA11+CB11+CC11+CE11</f>
        <v>4361</v>
      </c>
    </row>
    <row r="12" spans="1:84" ht="15.6" x14ac:dyDescent="0.25">
      <c r="A12" s="15"/>
      <c r="B12" s="14"/>
      <c r="C12" s="14" t="s">
        <v>22</v>
      </c>
      <c r="D12" s="14" t="s">
        <v>20</v>
      </c>
      <c r="E12" s="14"/>
      <c r="F12" s="14"/>
      <c r="G12" s="14"/>
      <c r="H12" s="14" t="s">
        <v>23</v>
      </c>
      <c r="I12" s="14" t="s">
        <v>24</v>
      </c>
      <c r="J12" s="14" t="s">
        <v>25</v>
      </c>
      <c r="CF12" s="13"/>
    </row>
    <row r="13" spans="1:84" ht="15.6" x14ac:dyDescent="0.25">
      <c r="A13" s="15"/>
      <c r="B13" s="14"/>
      <c r="C13" s="14"/>
      <c r="D13" s="14" t="s">
        <v>26</v>
      </c>
      <c r="E13" s="14" t="s">
        <v>27</v>
      </c>
      <c r="F13" s="14"/>
      <c r="G13" s="14" t="s">
        <v>28</v>
      </c>
      <c r="H13" s="14"/>
      <c r="I13" s="14"/>
      <c r="J13" s="14"/>
      <c r="CE13" s="10">
        <v>3917</v>
      </c>
      <c r="CF13" s="13">
        <f>CA13+CB13+CC13+CE13</f>
        <v>3917</v>
      </c>
    </row>
    <row r="14" spans="1:84" ht="15.6" x14ac:dyDescent="0.25">
      <c r="A14" s="15"/>
      <c r="B14" s="14"/>
      <c r="C14" s="14"/>
      <c r="D14" s="14"/>
      <c r="E14" s="14" t="s">
        <v>29</v>
      </c>
      <c r="F14" s="14" t="s">
        <v>30</v>
      </c>
      <c r="G14" s="14"/>
      <c r="H14" s="14"/>
      <c r="I14" s="14"/>
      <c r="J14" s="14"/>
      <c r="CE14" s="10">
        <v>444</v>
      </c>
      <c r="CF14" s="13">
        <f t="shared" ref="CF14:CF55" si="0">CA14+CB14+CC14+CE14</f>
        <v>444</v>
      </c>
    </row>
    <row r="15" spans="1:84" ht="27" customHeight="1" x14ac:dyDescent="0.25">
      <c r="A15" s="15"/>
      <c r="B15" s="14"/>
      <c r="C15" s="14"/>
      <c r="D15" s="14"/>
      <c r="E15" s="14"/>
      <c r="F15" s="14"/>
      <c r="G15" s="14"/>
      <c r="H15" s="14"/>
      <c r="I15" s="14"/>
      <c r="J15" s="14"/>
      <c r="CF15" s="13"/>
    </row>
    <row r="16" spans="1:84" ht="15.6" hidden="1" x14ac:dyDescent="0.25">
      <c r="A16" s="16">
        <v>1995</v>
      </c>
      <c r="B16" s="17">
        <f>1299.6/5</f>
        <v>259.91999999999996</v>
      </c>
      <c r="C16" s="17">
        <f>957.6/5</f>
        <v>191.52</v>
      </c>
      <c r="D16" s="17">
        <f>925/5</f>
        <v>185</v>
      </c>
      <c r="E16" s="18">
        <f>602.4/5</f>
        <v>120.47999999999999</v>
      </c>
      <c r="F16" s="18">
        <f>+D16-E16</f>
        <v>64.52000000000001</v>
      </c>
      <c r="G16" s="18">
        <f>+C16-D16</f>
        <v>6.5200000000000102</v>
      </c>
      <c r="H16" s="18">
        <f>+B16-C16</f>
        <v>68.399999999999949</v>
      </c>
      <c r="I16" s="19">
        <v>1.44</v>
      </c>
      <c r="J16" s="20">
        <v>1.3</v>
      </c>
      <c r="K16" s="19"/>
      <c r="L16" s="19"/>
      <c r="CE16" s="10">
        <f>CE18+CE19</f>
        <v>-2648</v>
      </c>
      <c r="CF16" s="13">
        <f t="shared" si="0"/>
        <v>-2648</v>
      </c>
    </row>
    <row r="17" spans="1:84" ht="15.6" hidden="1" x14ac:dyDescent="0.25">
      <c r="A17" s="16">
        <f>A16+1</f>
        <v>1996</v>
      </c>
      <c r="B17" s="17">
        <f>1545.1/5</f>
        <v>309.02</v>
      </c>
      <c r="C17" s="17">
        <f>1204.2/5</f>
        <v>240.84</v>
      </c>
      <c r="D17" s="17">
        <f>1173.7/5</f>
        <v>234.74</v>
      </c>
      <c r="E17" s="18">
        <f>865.4/5</f>
        <v>173.07999999999998</v>
      </c>
      <c r="F17" s="18">
        <f>+D17-E17</f>
        <v>61.660000000000025</v>
      </c>
      <c r="G17" s="18">
        <f>+C17-D17</f>
        <v>6.0999999999999943</v>
      </c>
      <c r="H17" s="18">
        <f>+B17-C17</f>
        <v>68.179999999999978</v>
      </c>
      <c r="I17" s="19">
        <v>1.46</v>
      </c>
      <c r="J17" s="20">
        <v>1.22</v>
      </c>
      <c r="K17" s="19"/>
      <c r="L17" s="19"/>
      <c r="CF17" s="13"/>
    </row>
    <row r="18" spans="1:84" ht="15.6" hidden="1" x14ac:dyDescent="0.25">
      <c r="A18" s="16">
        <f>A17+1</f>
        <v>1997</v>
      </c>
      <c r="B18" s="17">
        <f>2063.7/5</f>
        <v>412.73999999999995</v>
      </c>
      <c r="C18" s="17">
        <f>1556.3/5</f>
        <v>311.26</v>
      </c>
      <c r="D18" s="17">
        <f>1537.9/5</f>
        <v>307.58000000000004</v>
      </c>
      <c r="E18" s="10">
        <f>1170.5/5</f>
        <v>234.1</v>
      </c>
      <c r="F18" s="18">
        <f>+D18-E18</f>
        <v>73.480000000000047</v>
      </c>
      <c r="G18" s="18">
        <f>+C18-D18</f>
        <v>3.67999999999995</v>
      </c>
      <c r="H18" s="18">
        <f>+B18-C18</f>
        <v>101.47999999999996</v>
      </c>
      <c r="I18" s="19">
        <v>1.45</v>
      </c>
      <c r="J18" s="20">
        <v>1.1169884446996339</v>
      </c>
      <c r="K18" s="19"/>
      <c r="L18" s="19"/>
      <c r="CE18" s="10">
        <v>-367</v>
      </c>
      <c r="CF18" s="13">
        <f t="shared" si="0"/>
        <v>-367</v>
      </c>
    </row>
    <row r="19" spans="1:84" ht="15.6" hidden="1" x14ac:dyDescent="0.25">
      <c r="A19" s="16">
        <f>A18+1</f>
        <v>1998</v>
      </c>
      <c r="B19" s="17">
        <f>1712.9/5</f>
        <v>342.58000000000004</v>
      </c>
      <c r="C19" s="3">
        <f>1218.5/5</f>
        <v>243.7</v>
      </c>
      <c r="D19" s="3">
        <f>1202.5/5</f>
        <v>240.5</v>
      </c>
      <c r="E19" s="18">
        <v>185.2</v>
      </c>
      <c r="F19" s="18">
        <f>+D19-E19</f>
        <v>55.300000000000011</v>
      </c>
      <c r="G19" s="18">
        <f>+C19-D19</f>
        <v>3.1999999999999886</v>
      </c>
      <c r="H19" s="18">
        <f>+B19-C19</f>
        <v>98.880000000000052</v>
      </c>
      <c r="I19" s="19">
        <v>1.5</v>
      </c>
      <c r="J19" s="20">
        <v>1.1499999999999999</v>
      </c>
      <c r="K19" s="19"/>
      <c r="L19" s="19"/>
      <c r="CE19" s="10">
        <v>-2281</v>
      </c>
      <c r="CF19" s="13">
        <f t="shared" si="0"/>
        <v>-2281</v>
      </c>
    </row>
    <row r="20" spans="1:84" ht="15.6" hidden="1" x14ac:dyDescent="0.25">
      <c r="A20" s="16">
        <f>A19+1</f>
        <v>1999</v>
      </c>
      <c r="B20" s="18">
        <v>418.5</v>
      </c>
      <c r="C20" s="10">
        <v>280.89999999999998</v>
      </c>
      <c r="D20" s="18">
        <v>278</v>
      </c>
      <c r="E20" s="10">
        <v>227.2</v>
      </c>
      <c r="F20" s="18">
        <f>+D20-E20</f>
        <v>50.800000000000011</v>
      </c>
      <c r="G20" s="18">
        <f>+C20-D20</f>
        <v>2.8999999999999773</v>
      </c>
      <c r="H20" s="18">
        <f>+B20-C20</f>
        <v>137.60000000000002</v>
      </c>
      <c r="I20" s="19">
        <v>1.5796029289650486</v>
      </c>
      <c r="J20" s="20">
        <v>1.1200000000000001</v>
      </c>
      <c r="K20" s="19"/>
      <c r="L20" s="19"/>
      <c r="CF20" s="13"/>
    </row>
    <row r="21" spans="1:84" ht="15.6" hidden="1" x14ac:dyDescent="0.25">
      <c r="A21" s="16"/>
      <c r="E21" s="18"/>
      <c r="F21" s="18"/>
      <c r="G21" s="18"/>
      <c r="H21" s="18"/>
      <c r="I21" s="19"/>
      <c r="J21" s="20"/>
      <c r="K21" s="19"/>
      <c r="L21" s="19"/>
      <c r="CE21" s="10">
        <f>CE23+CE24</f>
        <v>-797</v>
      </c>
      <c r="CF21" s="13">
        <f t="shared" si="0"/>
        <v>-797</v>
      </c>
    </row>
    <row r="22" spans="1:84" ht="15.6" hidden="1" x14ac:dyDescent="0.25">
      <c r="A22" s="16">
        <f>A20+1</f>
        <v>2000</v>
      </c>
      <c r="B22" s="10">
        <v>781.36</v>
      </c>
      <c r="C22" s="10">
        <v>325.8</v>
      </c>
      <c r="D22" s="10">
        <v>315.5</v>
      </c>
      <c r="E22" s="18">
        <v>270</v>
      </c>
      <c r="F22" s="18">
        <f>+D22-E22</f>
        <v>45.5</v>
      </c>
      <c r="G22" s="18">
        <f>+C22-D22</f>
        <v>10.300000000000011</v>
      </c>
      <c r="H22" s="18">
        <f>+B22-C22</f>
        <v>455.56</v>
      </c>
      <c r="I22" s="19">
        <v>2.2129828933952647</v>
      </c>
      <c r="J22" s="20">
        <v>1.056420233463035</v>
      </c>
      <c r="K22" s="19"/>
      <c r="L22" s="19"/>
      <c r="CF22" s="13"/>
    </row>
    <row r="23" spans="1:84" ht="15.6" hidden="1" x14ac:dyDescent="0.25">
      <c r="A23" s="16">
        <f>A22+1</f>
        <v>2001</v>
      </c>
      <c r="B23" s="18">
        <v>687.31689665169006</v>
      </c>
      <c r="C23" s="18">
        <v>350.72034710799807</v>
      </c>
      <c r="D23" s="18">
        <v>338.62053305583208</v>
      </c>
      <c r="E23" s="18">
        <v>293.79736867848004</v>
      </c>
      <c r="F23" s="18">
        <f>+D23-E23</f>
        <v>44.823164377352043</v>
      </c>
      <c r="G23" s="18">
        <f>+C23-D23</f>
        <v>12.099814052165982</v>
      </c>
      <c r="H23" s="18">
        <f>+B23-C23</f>
        <v>336.59654954369199</v>
      </c>
      <c r="I23" s="19">
        <v>1.92</v>
      </c>
      <c r="J23" s="20">
        <v>1.0445674163989052</v>
      </c>
      <c r="K23" s="19"/>
      <c r="L23" s="19"/>
      <c r="CE23" s="10">
        <v>-644</v>
      </c>
      <c r="CF23" s="13">
        <f t="shared" si="0"/>
        <v>-644</v>
      </c>
    </row>
    <row r="24" spans="1:84" ht="15.6" hidden="1" x14ac:dyDescent="0.25">
      <c r="A24" s="16">
        <f>A23+1</f>
        <v>2002</v>
      </c>
      <c r="B24" s="18">
        <v>785.75896751412006</v>
      </c>
      <c r="C24" s="18">
        <v>405.02479882353805</v>
      </c>
      <c r="D24" s="18">
        <v>393.45344481966401</v>
      </c>
      <c r="E24" s="18">
        <v>333.74568082834202</v>
      </c>
      <c r="F24" s="18">
        <f>+D24-E24</f>
        <v>59.707763991321997</v>
      </c>
      <c r="G24" s="18">
        <f>+C24-D24</f>
        <v>11.571354003874035</v>
      </c>
      <c r="H24" s="18">
        <f>+B24-C24</f>
        <v>380.73416869058201</v>
      </c>
      <c r="I24" s="19">
        <v>1.92</v>
      </c>
      <c r="J24" s="20">
        <v>1.0823227736524388</v>
      </c>
      <c r="K24" s="19"/>
      <c r="L24" s="19"/>
      <c r="CE24" s="10">
        <v>-153</v>
      </c>
      <c r="CF24" s="13">
        <f t="shared" si="0"/>
        <v>-153</v>
      </c>
    </row>
    <row r="25" spans="1:84" ht="15.6" hidden="1" x14ac:dyDescent="0.25">
      <c r="A25" s="16">
        <f>A24+1</f>
        <v>2003</v>
      </c>
      <c r="B25" s="18">
        <v>1020.0667327168321</v>
      </c>
      <c r="C25" s="18">
        <v>519.04552047792811</v>
      </c>
      <c r="D25" s="18">
        <v>499.81892348548007</v>
      </c>
      <c r="E25" s="18">
        <v>408.17522567792406</v>
      </c>
      <c r="F25" s="18">
        <f>+D25-E25</f>
        <v>91.643697807556009</v>
      </c>
      <c r="G25" s="18">
        <f>+C25-D25</f>
        <v>19.226596992448037</v>
      </c>
      <c r="H25" s="18">
        <f>+B25-C25</f>
        <v>501.02121223890401</v>
      </c>
      <c r="I25" s="19">
        <v>2.0099999999999998</v>
      </c>
      <c r="J25" s="20">
        <v>1.1191709844559585</v>
      </c>
      <c r="K25" s="19"/>
      <c r="L25" s="19"/>
      <c r="CF25" s="13"/>
    </row>
    <row r="26" spans="1:84" ht="15.6" hidden="1" x14ac:dyDescent="0.25">
      <c r="A26" s="16">
        <f>A25+1</f>
        <v>2004</v>
      </c>
      <c r="B26" s="18">
        <v>1505.8783612854038</v>
      </c>
      <c r="C26" s="18">
        <v>685.66962160337198</v>
      </c>
      <c r="D26" s="18">
        <v>652.89988348548616</v>
      </c>
      <c r="E26" s="18">
        <v>477.793861111502</v>
      </c>
      <c r="F26" s="18">
        <f>+D26-E26</f>
        <v>175.10602237398416</v>
      </c>
      <c r="G26" s="18">
        <f>+C26-D26</f>
        <v>32.769738117885822</v>
      </c>
      <c r="H26" s="18">
        <f>+B26-C26</f>
        <v>820.20873968203182</v>
      </c>
      <c r="I26" s="19">
        <v>1.8</v>
      </c>
      <c r="J26" s="20">
        <v>1.0680582463596027</v>
      </c>
      <c r="K26" s="19"/>
      <c r="L26" s="19"/>
      <c r="CF26" s="13"/>
    </row>
    <row r="27" spans="1:84" ht="15.6" hidden="1" x14ac:dyDescent="0.25">
      <c r="A27" s="21">
        <v>2005</v>
      </c>
      <c r="B27" s="22">
        <v>1838.6913451086161</v>
      </c>
      <c r="C27" s="22">
        <v>796.45042524850601</v>
      </c>
      <c r="D27" s="22">
        <v>750.21738680547401</v>
      </c>
      <c r="E27" s="22">
        <v>547.40912764457403</v>
      </c>
      <c r="F27" s="22">
        <f>+F39</f>
        <v>202.80825916089998</v>
      </c>
      <c r="G27" s="22">
        <f>+G39</f>
        <v>46.233038443032001</v>
      </c>
      <c r="H27" s="22">
        <f>+H39</f>
        <v>1042.2409198601101</v>
      </c>
      <c r="I27" s="23">
        <f>+I39</f>
        <v>2.1</v>
      </c>
      <c r="J27" s="24">
        <f>+J39</f>
        <v>1.2</v>
      </c>
      <c r="K27" s="25"/>
      <c r="L27" s="25"/>
      <c r="CF27" s="13"/>
    </row>
    <row r="28" spans="1:84" ht="15.6" hidden="1" x14ac:dyDescent="0.25">
      <c r="A28" s="26" t="s">
        <v>31</v>
      </c>
      <c r="B28" s="27">
        <v>1444.7701291448498</v>
      </c>
      <c r="C28" s="27">
        <v>618.41400162516391</v>
      </c>
      <c r="D28" s="27">
        <v>587.31444198508586</v>
      </c>
      <c r="E28" s="27">
        <v>427.30582480154192</v>
      </c>
      <c r="F28" s="27">
        <f t="shared" ref="F28:F39" si="1">+D28-E28</f>
        <v>160.00861718354395</v>
      </c>
      <c r="G28" s="27">
        <f t="shared" ref="G28:G39" si="2">+C28-D28</f>
        <v>31.099559640078041</v>
      </c>
      <c r="H28" s="18">
        <f t="shared" ref="H28:H39" si="3">+B28-C28</f>
        <v>826.35612751968586</v>
      </c>
      <c r="I28" s="25">
        <v>2.2565356403987211</v>
      </c>
      <c r="J28" s="28">
        <v>1.077254421292243</v>
      </c>
      <c r="K28" s="25"/>
      <c r="L28" s="25"/>
      <c r="CE28" s="10">
        <v>-31</v>
      </c>
      <c r="CF28" s="13">
        <f t="shared" si="0"/>
        <v>-31</v>
      </c>
    </row>
    <row r="29" spans="1:84" ht="15.6" hidden="1" x14ac:dyDescent="0.25">
      <c r="A29" s="26" t="s">
        <v>32</v>
      </c>
      <c r="B29" s="27">
        <v>1442.8653603744719</v>
      </c>
      <c r="C29" s="27">
        <v>639.79639097140785</v>
      </c>
      <c r="D29" s="27">
        <v>609.16003285551199</v>
      </c>
      <c r="E29" s="27">
        <v>440.79863884778791</v>
      </c>
      <c r="F29" s="27">
        <f t="shared" si="1"/>
        <v>168.36139400772407</v>
      </c>
      <c r="G29" s="27">
        <f t="shared" si="2"/>
        <v>30.63635811589586</v>
      </c>
      <c r="H29" s="18">
        <f t="shared" si="3"/>
        <v>803.0689694030641</v>
      </c>
      <c r="I29" s="25">
        <v>2.221194306930693</v>
      </c>
      <c r="J29" s="28">
        <v>1.0904094531464688</v>
      </c>
      <c r="K29" s="25"/>
      <c r="L29" s="25"/>
      <c r="CE29" s="10">
        <v>-440</v>
      </c>
      <c r="CF29" s="13">
        <f t="shared" si="0"/>
        <v>-440</v>
      </c>
    </row>
    <row r="30" spans="1:84" ht="15.6" hidden="1" x14ac:dyDescent="0.25">
      <c r="A30" s="26" t="s">
        <v>33</v>
      </c>
      <c r="B30" s="27">
        <v>1448.7999708670638</v>
      </c>
      <c r="C30" s="27">
        <v>639.81767324583598</v>
      </c>
      <c r="D30" s="27">
        <v>607.92106516805609</v>
      </c>
      <c r="E30" s="27">
        <v>442.38544158775005</v>
      </c>
      <c r="F30" s="27">
        <f t="shared" si="1"/>
        <v>165.53562358030604</v>
      </c>
      <c r="G30" s="27">
        <f t="shared" si="2"/>
        <v>31.896608077779888</v>
      </c>
      <c r="H30" s="18">
        <f t="shared" si="3"/>
        <v>808.98229762122787</v>
      </c>
      <c r="I30" s="25">
        <v>2.2169071276955732</v>
      </c>
      <c r="J30" s="28">
        <v>1.1299163552233493</v>
      </c>
      <c r="K30" s="25"/>
      <c r="L30" s="25"/>
      <c r="CF30" s="13"/>
    </row>
    <row r="31" spans="1:84" ht="15.6" hidden="1" x14ac:dyDescent="0.25">
      <c r="A31" s="26" t="s">
        <v>34</v>
      </c>
      <c r="B31" s="27">
        <v>1584.7816406961019</v>
      </c>
      <c r="C31" s="27">
        <v>681.24733238799013</v>
      </c>
      <c r="D31" s="27">
        <v>650.60310643722414</v>
      </c>
      <c r="E31" s="27">
        <v>470.36183574431209</v>
      </c>
      <c r="F31" s="27">
        <f t="shared" si="1"/>
        <v>180.24127069291205</v>
      </c>
      <c r="G31" s="27">
        <f t="shared" si="2"/>
        <v>30.644225950765986</v>
      </c>
      <c r="H31" s="18">
        <f t="shared" si="3"/>
        <v>903.5343083081118</v>
      </c>
      <c r="I31" s="25">
        <v>2.4387758253296687</v>
      </c>
      <c r="J31" s="28">
        <v>1.1576352993530279</v>
      </c>
      <c r="K31" s="25"/>
      <c r="L31" s="25"/>
      <c r="CE31" s="10">
        <f>CE33+CE34</f>
        <v>-498</v>
      </c>
      <c r="CF31" s="13">
        <f>CA31+CB31+CC31+CE31</f>
        <v>-498</v>
      </c>
    </row>
    <row r="32" spans="1:84" ht="15.6" hidden="1" x14ac:dyDescent="0.25">
      <c r="A32" s="26" t="s">
        <v>35</v>
      </c>
      <c r="B32" s="27">
        <v>1657.9126178150323</v>
      </c>
      <c r="C32" s="27">
        <v>731.29756130039812</v>
      </c>
      <c r="D32" s="27">
        <v>694.09723835849411</v>
      </c>
      <c r="E32" s="27">
        <v>497.87348272811806</v>
      </c>
      <c r="F32" s="27">
        <f t="shared" si="1"/>
        <v>196.22375563037605</v>
      </c>
      <c r="G32" s="27">
        <f t="shared" si="2"/>
        <v>37.200322941904005</v>
      </c>
      <c r="H32" s="18">
        <f t="shared" si="3"/>
        <v>926.61505651463415</v>
      </c>
      <c r="I32" s="25">
        <v>2.4146213183730714</v>
      </c>
      <c r="J32" s="28">
        <v>1.1839994783856034</v>
      </c>
      <c r="K32" s="25"/>
      <c r="L32" s="25"/>
      <c r="CF32" s="13"/>
    </row>
    <row r="33" spans="1:84" ht="15.6" hidden="1" x14ac:dyDescent="0.25">
      <c r="A33" s="26" t="s">
        <v>36</v>
      </c>
      <c r="B33" s="27">
        <v>1692.4861674859758</v>
      </c>
      <c r="C33" s="27">
        <v>775.44086006359987</v>
      </c>
      <c r="D33" s="27">
        <v>733.40829549368391</v>
      </c>
      <c r="E33" s="27">
        <v>534.71676655785586</v>
      </c>
      <c r="F33" s="27">
        <f t="shared" si="1"/>
        <v>198.69152893582805</v>
      </c>
      <c r="G33" s="27">
        <f t="shared" si="2"/>
        <v>42.032564569915962</v>
      </c>
      <c r="H33" s="18">
        <f>+B33-C33</f>
        <v>917.04530742237591</v>
      </c>
      <c r="I33" s="25">
        <v>2.2649797407894385</v>
      </c>
      <c r="J33" s="28">
        <v>1.1479968999642303</v>
      </c>
      <c r="K33" s="25"/>
      <c r="L33" s="25"/>
      <c r="CE33" s="10">
        <v>-521</v>
      </c>
      <c r="CF33" s="13">
        <f>CA33+CB33+CC33+CE33</f>
        <v>-521</v>
      </c>
    </row>
    <row r="34" spans="1:84" ht="15.6" hidden="1" x14ac:dyDescent="0.25">
      <c r="A34" s="26" t="s">
        <v>37</v>
      </c>
      <c r="B34" s="27">
        <v>1774.5345469430581</v>
      </c>
      <c r="C34" s="27">
        <v>811.45976042374605</v>
      </c>
      <c r="D34" s="27">
        <v>769.21611068230607</v>
      </c>
      <c r="E34" s="27">
        <v>563.146593101706</v>
      </c>
      <c r="F34" s="27">
        <f t="shared" si="1"/>
        <v>206.06951758060006</v>
      </c>
      <c r="G34" s="27">
        <f t="shared" si="2"/>
        <v>42.243649741439981</v>
      </c>
      <c r="H34" s="18">
        <f t="shared" si="3"/>
        <v>963.07478651931206</v>
      </c>
      <c r="I34" s="25">
        <v>2.2274031202818318</v>
      </c>
      <c r="J34" s="28">
        <v>1.1209805174953447</v>
      </c>
      <c r="K34" s="25"/>
      <c r="L34" s="25"/>
      <c r="CE34" s="10">
        <v>23</v>
      </c>
      <c r="CF34" s="13">
        <f>CA34+CB34+CC34+CE34</f>
        <v>23</v>
      </c>
    </row>
    <row r="35" spans="1:84" ht="15.6" hidden="1" x14ac:dyDescent="0.25">
      <c r="A35" s="26" t="s">
        <v>38</v>
      </c>
      <c r="B35" s="27">
        <v>1832.6803633093282</v>
      </c>
      <c r="C35" s="27">
        <v>832.04509136438014</v>
      </c>
      <c r="D35" s="27">
        <v>785.40322368143416</v>
      </c>
      <c r="E35" s="27">
        <v>572.72885636344608</v>
      </c>
      <c r="F35" s="27">
        <f t="shared" si="1"/>
        <v>212.67436731798807</v>
      </c>
      <c r="G35" s="27">
        <f t="shared" si="2"/>
        <v>46.641867682945986</v>
      </c>
      <c r="H35" s="18">
        <f t="shared" si="3"/>
        <v>1000.635271944948</v>
      </c>
      <c r="I35" s="25">
        <v>2.2506273062730626</v>
      </c>
      <c r="J35" s="28">
        <v>1.1294265291646204</v>
      </c>
      <c r="K35" s="25"/>
      <c r="L35" s="25"/>
      <c r="CF35" s="13"/>
    </row>
    <row r="36" spans="1:84" ht="15.6" hidden="1" x14ac:dyDescent="0.25">
      <c r="A36" s="26" t="s">
        <v>39</v>
      </c>
      <c r="B36" s="27">
        <v>1873.5409652113781</v>
      </c>
      <c r="C36" s="27">
        <v>843.40775928979792</v>
      </c>
      <c r="D36" s="27">
        <v>796.46969348898995</v>
      </c>
      <c r="E36" s="27">
        <v>603.28436740658992</v>
      </c>
      <c r="F36" s="27">
        <f t="shared" si="1"/>
        <v>193.18532608240002</v>
      </c>
      <c r="G36" s="27">
        <f t="shared" si="2"/>
        <v>46.938065800807976</v>
      </c>
      <c r="H36" s="18">
        <f t="shared" si="3"/>
        <v>1030.1332059215802</v>
      </c>
      <c r="I36" s="25">
        <v>2.2723692846204333</v>
      </c>
      <c r="J36" s="28">
        <v>1.1429778419775967</v>
      </c>
      <c r="K36" s="25"/>
      <c r="L36" s="25"/>
      <c r="CE36" s="10">
        <v>433</v>
      </c>
      <c r="CF36" s="13">
        <f t="shared" si="0"/>
        <v>433</v>
      </c>
    </row>
    <row r="37" spans="1:84" ht="15.6" hidden="1" x14ac:dyDescent="0.25">
      <c r="A37" s="26" t="s">
        <v>40</v>
      </c>
      <c r="B37" s="27">
        <v>1864.1828485782862</v>
      </c>
      <c r="C37" s="27">
        <v>796.90697123063808</v>
      </c>
      <c r="D37" s="27">
        <v>751.21286477372803</v>
      </c>
      <c r="E37" s="27">
        <v>565.28997535496808</v>
      </c>
      <c r="F37" s="27">
        <f t="shared" si="1"/>
        <v>185.92288941875995</v>
      </c>
      <c r="G37" s="27">
        <f t="shared" si="2"/>
        <v>45.694106456910049</v>
      </c>
      <c r="H37" s="18">
        <f t="shared" si="3"/>
        <v>1067.275877347648</v>
      </c>
      <c r="I37" s="25">
        <v>2.344982236891834</v>
      </c>
      <c r="J37" s="28">
        <v>1.1175359458697491</v>
      </c>
      <c r="K37" s="25"/>
      <c r="L37" s="25"/>
      <c r="CE37" s="10">
        <v>-931</v>
      </c>
      <c r="CF37" s="13">
        <f t="shared" si="0"/>
        <v>-931</v>
      </c>
    </row>
    <row r="38" spans="1:84" ht="15.6" hidden="1" x14ac:dyDescent="0.25">
      <c r="A38" s="26" t="s">
        <v>41</v>
      </c>
      <c r="B38" s="27">
        <v>1805.4560168182061</v>
      </c>
      <c r="C38" s="27">
        <v>773.44285378011011</v>
      </c>
      <c r="D38" s="27">
        <v>725.52213571271807</v>
      </c>
      <c r="E38" s="27">
        <v>529.74980950519614</v>
      </c>
      <c r="F38" s="27">
        <f t="shared" si="1"/>
        <v>195.77232620752193</v>
      </c>
      <c r="G38" s="27">
        <f t="shared" si="2"/>
        <v>47.920718067392045</v>
      </c>
      <c r="H38" s="18">
        <f t="shared" si="3"/>
        <v>1032.0131630380961</v>
      </c>
      <c r="I38" s="25">
        <v>2.45012112469038</v>
      </c>
      <c r="J38" s="28">
        <v>1.1843265406788499</v>
      </c>
      <c r="K38" s="25"/>
      <c r="L38" s="25"/>
      <c r="CF38" s="13"/>
    </row>
    <row r="39" spans="1:84" ht="15.6" hidden="1" x14ac:dyDescent="0.25">
      <c r="A39" s="26" t="s">
        <v>42</v>
      </c>
      <c r="B39" s="27">
        <v>1838.6913451086161</v>
      </c>
      <c r="C39" s="27">
        <v>796.45042524850601</v>
      </c>
      <c r="D39" s="27">
        <v>750.21738680547401</v>
      </c>
      <c r="E39" s="27">
        <v>547.40912764457403</v>
      </c>
      <c r="F39" s="27">
        <f t="shared" si="1"/>
        <v>202.80825916089998</v>
      </c>
      <c r="G39" s="27">
        <f t="shared" si="2"/>
        <v>46.233038443032001</v>
      </c>
      <c r="H39" s="18">
        <f t="shared" si="3"/>
        <v>1042.2409198601101</v>
      </c>
      <c r="I39" s="25">
        <v>2.1</v>
      </c>
      <c r="J39" s="28">
        <v>1.2</v>
      </c>
      <c r="K39" s="25"/>
      <c r="L39" s="25"/>
      <c r="CE39" s="10">
        <v>204</v>
      </c>
      <c r="CF39" s="13">
        <f t="shared" si="0"/>
        <v>204</v>
      </c>
    </row>
    <row r="40" spans="1:84" ht="15.6" x14ac:dyDescent="0.25">
      <c r="A40" s="29">
        <v>2006</v>
      </c>
      <c r="B40" s="30">
        <v>3434.9590645600001</v>
      </c>
      <c r="C40" s="30">
        <v>2135.4512166600002</v>
      </c>
      <c r="D40" s="30">
        <v>1839.56814044</v>
      </c>
      <c r="E40" s="30">
        <v>1311.3468033600002</v>
      </c>
      <c r="F40" s="30">
        <f>+F52</f>
        <v>528.22133707999978</v>
      </c>
      <c r="G40" s="30">
        <f>+G52</f>
        <v>295.88307622000025</v>
      </c>
      <c r="H40" s="30">
        <f>+H52</f>
        <v>1299.5078478999999</v>
      </c>
      <c r="I40" s="31">
        <f>+I52</f>
        <v>1.68</v>
      </c>
      <c r="J40" s="31">
        <f>+J52</f>
        <v>1.33</v>
      </c>
      <c r="K40" s="25"/>
      <c r="L40" s="25"/>
      <c r="CE40" s="10">
        <v>200</v>
      </c>
      <c r="CF40" s="13">
        <f t="shared" si="0"/>
        <v>200</v>
      </c>
    </row>
    <row r="41" spans="1:84" ht="15.6" hidden="1" x14ac:dyDescent="0.25">
      <c r="A41" s="32" t="s">
        <v>31</v>
      </c>
      <c r="B41" s="30">
        <v>1779.0438476300001</v>
      </c>
      <c r="C41" s="30">
        <v>707.85783872000013</v>
      </c>
      <c r="D41" s="30">
        <v>661.10696098000017</v>
      </c>
      <c r="E41" s="30">
        <v>466.22478698000009</v>
      </c>
      <c r="F41" s="30">
        <f t="shared" ref="F41:F52" si="4">+D41-E41</f>
        <v>194.88217400000008</v>
      </c>
      <c r="G41" s="30">
        <f t="shared" ref="G41:G52" si="5">+C41-D41</f>
        <v>46.750877739999964</v>
      </c>
      <c r="H41" s="33">
        <f t="shared" ref="H41:H52" si="6">+B41-C41</f>
        <v>1071.1860089100001</v>
      </c>
      <c r="I41" s="31">
        <v>2.58</v>
      </c>
      <c r="J41" s="34">
        <v>1.17</v>
      </c>
      <c r="K41" s="35"/>
      <c r="L41" s="35"/>
      <c r="CF41" s="13"/>
    </row>
    <row r="42" spans="1:84" ht="15.6" hidden="1" x14ac:dyDescent="0.25">
      <c r="A42" s="32" t="s">
        <v>32</v>
      </c>
      <c r="B42" s="30">
        <v>1845.7093345899998</v>
      </c>
      <c r="C42" s="30">
        <v>764.2260487399999</v>
      </c>
      <c r="D42" s="30">
        <v>711.21089476999987</v>
      </c>
      <c r="E42" s="30">
        <v>472.40871401999999</v>
      </c>
      <c r="F42" s="30">
        <f t="shared" si="4"/>
        <v>238.80218074999988</v>
      </c>
      <c r="G42" s="30">
        <f t="shared" si="5"/>
        <v>53.015153970000028</v>
      </c>
      <c r="H42" s="33">
        <f t="shared" si="6"/>
        <v>1081.4832858499999</v>
      </c>
      <c r="I42" s="31">
        <v>2.44</v>
      </c>
      <c r="J42" s="34">
        <v>1.19</v>
      </c>
      <c r="K42" s="35"/>
      <c r="L42" s="35"/>
      <c r="CE42" s="10">
        <v>295</v>
      </c>
      <c r="CF42" s="13">
        <f t="shared" si="0"/>
        <v>295</v>
      </c>
    </row>
    <row r="43" spans="1:84" ht="15.6" hidden="1" x14ac:dyDescent="0.25">
      <c r="A43" s="32" t="s">
        <v>33</v>
      </c>
      <c r="B43" s="30">
        <v>1926.5032717600002</v>
      </c>
      <c r="C43" s="30">
        <v>841.32249034000006</v>
      </c>
      <c r="D43" s="36">
        <v>783.16418420000014</v>
      </c>
      <c r="E43" s="30">
        <v>519.53356327000006</v>
      </c>
      <c r="F43" s="30">
        <f t="shared" si="4"/>
        <v>263.63062093000008</v>
      </c>
      <c r="G43" s="30">
        <f t="shared" si="5"/>
        <v>58.158306139999922</v>
      </c>
      <c r="H43" s="33">
        <f t="shared" si="6"/>
        <v>1085.1807814200001</v>
      </c>
      <c r="I43" s="34">
        <v>2.33</v>
      </c>
      <c r="J43" s="34">
        <v>1.18</v>
      </c>
      <c r="K43" s="35"/>
      <c r="L43" s="35"/>
      <c r="CE43" s="10">
        <v>-95</v>
      </c>
      <c r="CF43" s="13">
        <f t="shared" si="0"/>
        <v>-95</v>
      </c>
    </row>
    <row r="44" spans="1:84" ht="15.6" hidden="1" x14ac:dyDescent="0.25">
      <c r="A44" s="32" t="s">
        <v>34</v>
      </c>
      <c r="B44" s="30">
        <v>2055.5574526100004</v>
      </c>
      <c r="C44" s="30">
        <v>915.66259446000004</v>
      </c>
      <c r="D44" s="36">
        <v>848.85440532999996</v>
      </c>
      <c r="E44" s="30">
        <v>564.04256186999999</v>
      </c>
      <c r="F44" s="30">
        <f t="shared" si="4"/>
        <v>284.81184345999998</v>
      </c>
      <c r="G44" s="30">
        <f t="shared" si="5"/>
        <v>66.808189130000073</v>
      </c>
      <c r="H44" s="33">
        <f t="shared" si="6"/>
        <v>1139.8948581500003</v>
      </c>
      <c r="I44" s="31">
        <v>2.4</v>
      </c>
      <c r="J44" s="31">
        <v>1.2350000000000001</v>
      </c>
      <c r="K44" s="25"/>
      <c r="L44" s="25"/>
      <c r="CF44" s="13"/>
    </row>
    <row r="45" spans="1:84" ht="15.6" hidden="1" x14ac:dyDescent="0.25">
      <c r="A45" s="32" t="s">
        <v>35</v>
      </c>
      <c r="B45" s="30">
        <v>2153.3551943900002</v>
      </c>
      <c r="C45" s="30">
        <v>986.21397751000006</v>
      </c>
      <c r="D45" s="36">
        <v>910.18533269</v>
      </c>
      <c r="E45" s="30">
        <v>629.3409680100001</v>
      </c>
      <c r="F45" s="30">
        <f t="shared" si="4"/>
        <v>280.8443646799999</v>
      </c>
      <c r="G45" s="30">
        <f t="shared" si="5"/>
        <v>76.028644820000068</v>
      </c>
      <c r="H45" s="33">
        <f t="shared" si="6"/>
        <v>1167.1412168800002</v>
      </c>
      <c r="I45" s="31">
        <v>2.31</v>
      </c>
      <c r="J45" s="34">
        <v>1.22</v>
      </c>
      <c r="K45" s="35"/>
      <c r="L45" s="35"/>
      <c r="CE45" s="10">
        <v>0</v>
      </c>
      <c r="CF45" s="13">
        <f t="shared" si="0"/>
        <v>0</v>
      </c>
    </row>
    <row r="46" spans="1:84" ht="15.6" hidden="1" x14ac:dyDescent="0.25">
      <c r="A46" s="32" t="s">
        <v>36</v>
      </c>
      <c r="B46" s="30">
        <v>2349.45600582</v>
      </c>
      <c r="C46" s="30">
        <v>1131.2472143800001</v>
      </c>
      <c r="D46" s="36">
        <v>1028.3768966599998</v>
      </c>
      <c r="E46" s="30">
        <v>728.08926222000002</v>
      </c>
      <c r="F46" s="30">
        <f t="shared" si="4"/>
        <v>300.28763443999981</v>
      </c>
      <c r="G46" s="30">
        <f t="shared" si="5"/>
        <v>102.87031772000023</v>
      </c>
      <c r="H46" s="33">
        <f t="shared" si="6"/>
        <v>1218.2087914399999</v>
      </c>
      <c r="I46" s="31">
        <v>2.17</v>
      </c>
      <c r="J46" s="34">
        <v>1.18</v>
      </c>
      <c r="K46" s="35"/>
      <c r="L46" s="35"/>
      <c r="CF46" s="13"/>
    </row>
    <row r="47" spans="1:84" ht="15.6" hidden="1" x14ac:dyDescent="0.25">
      <c r="A47" s="32" t="s">
        <v>37</v>
      </c>
      <c r="B47" s="30">
        <v>2546.10319785</v>
      </c>
      <c r="C47" s="30">
        <v>1293.6081918599998</v>
      </c>
      <c r="D47" s="36">
        <v>1171.8001929499999</v>
      </c>
      <c r="E47" s="30">
        <v>861.72473530999991</v>
      </c>
      <c r="F47" s="30">
        <f t="shared" si="4"/>
        <v>310.07545763999997</v>
      </c>
      <c r="G47" s="30">
        <f t="shared" si="5"/>
        <v>121.80799890999992</v>
      </c>
      <c r="H47" s="33">
        <f t="shared" si="6"/>
        <v>1252.4950059900002</v>
      </c>
      <c r="I47" s="31">
        <v>2.12</v>
      </c>
      <c r="J47" s="34">
        <v>1.21</v>
      </c>
      <c r="K47" s="35"/>
      <c r="L47" s="35"/>
      <c r="CE47" s="10">
        <f>CE48-CE52</f>
        <v>481</v>
      </c>
      <c r="CF47" s="13">
        <f t="shared" si="0"/>
        <v>481</v>
      </c>
    </row>
    <row r="48" spans="1:84" ht="15.6" hidden="1" x14ac:dyDescent="0.25">
      <c r="A48" s="32" t="s">
        <v>38</v>
      </c>
      <c r="B48" s="30">
        <v>2659.6957829799999</v>
      </c>
      <c r="C48" s="30">
        <v>1411.4761434100001</v>
      </c>
      <c r="D48" s="36">
        <v>1268.1629514400001</v>
      </c>
      <c r="E48" s="30">
        <v>915.02635529000008</v>
      </c>
      <c r="F48" s="30">
        <f t="shared" si="4"/>
        <v>353.13659615000006</v>
      </c>
      <c r="G48" s="30">
        <f t="shared" si="5"/>
        <v>143.31319196999993</v>
      </c>
      <c r="H48" s="33">
        <f t="shared" si="6"/>
        <v>1248.2196395699998</v>
      </c>
      <c r="I48" s="31">
        <v>2.06</v>
      </c>
      <c r="J48" s="34">
        <v>1.22</v>
      </c>
      <c r="K48" s="35"/>
      <c r="L48" s="35"/>
      <c r="CE48" s="10">
        <f>CE50+CE51</f>
        <v>965</v>
      </c>
      <c r="CF48" s="13">
        <f t="shared" si="0"/>
        <v>965</v>
      </c>
    </row>
    <row r="49" spans="1:84" ht="15.6" hidden="1" x14ac:dyDescent="0.25">
      <c r="A49" s="32" t="s">
        <v>39</v>
      </c>
      <c r="B49" s="30">
        <v>2798.1588578800006</v>
      </c>
      <c r="C49" s="30">
        <v>1529.3885263800003</v>
      </c>
      <c r="D49" s="36">
        <v>1354.76533591</v>
      </c>
      <c r="E49" s="30">
        <v>996.81828699000005</v>
      </c>
      <c r="F49" s="30">
        <f t="shared" si="4"/>
        <v>357.94704891999993</v>
      </c>
      <c r="G49" s="30">
        <f t="shared" si="5"/>
        <v>174.62319047000028</v>
      </c>
      <c r="H49" s="33">
        <f t="shared" si="6"/>
        <v>1268.7703315000003</v>
      </c>
      <c r="I49" s="31">
        <v>2.12</v>
      </c>
      <c r="J49" s="34">
        <v>1.28</v>
      </c>
      <c r="K49" s="35"/>
      <c r="L49" s="35"/>
      <c r="CF49" s="13"/>
    </row>
    <row r="50" spans="1:84" ht="15.6" hidden="1" x14ac:dyDescent="0.25">
      <c r="A50" s="32" t="s">
        <v>40</v>
      </c>
      <c r="B50" s="30">
        <v>2951.16587265</v>
      </c>
      <c r="C50" s="30">
        <v>1714.3926982600001</v>
      </c>
      <c r="D50" s="36">
        <v>1505.60137822</v>
      </c>
      <c r="E50" s="30">
        <v>1096.2854915800001</v>
      </c>
      <c r="F50" s="30">
        <f t="shared" si="4"/>
        <v>409.31588663999992</v>
      </c>
      <c r="G50" s="30">
        <f t="shared" si="5"/>
        <v>208.79132004000007</v>
      </c>
      <c r="H50" s="33">
        <f t="shared" si="6"/>
        <v>1236.7731743899999</v>
      </c>
      <c r="I50" s="31">
        <v>2.02</v>
      </c>
      <c r="J50" s="34">
        <v>1.29</v>
      </c>
      <c r="K50" s="35"/>
      <c r="L50" s="35"/>
      <c r="CE50" s="10">
        <v>954</v>
      </c>
      <c r="CF50" s="13">
        <f t="shared" si="0"/>
        <v>954</v>
      </c>
    </row>
    <row r="51" spans="1:84" ht="15.6" hidden="1" x14ac:dyDescent="0.25">
      <c r="A51" s="32" t="s">
        <v>41</v>
      </c>
      <c r="B51" s="30">
        <v>3040.6547447599996</v>
      </c>
      <c r="C51" s="30">
        <v>1820.3852246000001</v>
      </c>
      <c r="D51" s="36">
        <v>1593.2180773</v>
      </c>
      <c r="E51" s="30">
        <v>1114.50949109</v>
      </c>
      <c r="F51" s="30">
        <f t="shared" si="4"/>
        <v>478.70858621000002</v>
      </c>
      <c r="G51" s="30">
        <f t="shared" si="5"/>
        <v>227.16714730000012</v>
      </c>
      <c r="H51" s="33">
        <f t="shared" si="6"/>
        <v>1220.2695201599995</v>
      </c>
      <c r="I51" s="31">
        <v>1.97</v>
      </c>
      <c r="J51" s="34">
        <v>1.29</v>
      </c>
      <c r="K51" s="35"/>
      <c r="L51" s="35"/>
      <c r="CE51" s="10">
        <v>11</v>
      </c>
      <c r="CF51" s="13">
        <f t="shared" si="0"/>
        <v>11</v>
      </c>
    </row>
    <row r="52" spans="1:84" ht="15.6" hidden="1" x14ac:dyDescent="0.25">
      <c r="A52" s="32" t="s">
        <v>42</v>
      </c>
      <c r="B52" s="30">
        <v>3434.9590645600001</v>
      </c>
      <c r="C52" s="30">
        <v>2135.4512166600002</v>
      </c>
      <c r="D52" s="36">
        <v>1839.56814044</v>
      </c>
      <c r="E52" s="30">
        <v>1311.3468033600002</v>
      </c>
      <c r="F52" s="30">
        <f t="shared" si="4"/>
        <v>528.22133707999978</v>
      </c>
      <c r="G52" s="30">
        <f t="shared" si="5"/>
        <v>295.88307622000025</v>
      </c>
      <c r="H52" s="33">
        <f t="shared" si="6"/>
        <v>1299.5078478999999</v>
      </c>
      <c r="I52" s="31">
        <v>1.68</v>
      </c>
      <c r="J52" s="34">
        <v>1.33</v>
      </c>
      <c r="K52" s="35"/>
      <c r="L52" s="35"/>
      <c r="CE52" s="10">
        <f>CE54+CE55+CE56+CE57</f>
        <v>484</v>
      </c>
      <c r="CF52" s="13">
        <f t="shared" si="0"/>
        <v>484</v>
      </c>
    </row>
    <row r="53" spans="1:84" ht="15.6" x14ac:dyDescent="0.25">
      <c r="A53" s="29">
        <v>2007</v>
      </c>
      <c r="B53" s="30">
        <v>5897.2552108999998</v>
      </c>
      <c r="C53" s="30">
        <v>4401.6104359399997</v>
      </c>
      <c r="D53" s="30">
        <v>3621.7123201999998</v>
      </c>
      <c r="E53" s="30">
        <v>2713.50601646</v>
      </c>
      <c r="F53" s="30">
        <f>+F65</f>
        <v>908.20630373999984</v>
      </c>
      <c r="G53" s="30">
        <f>+G65</f>
        <v>779.89811573999987</v>
      </c>
      <c r="H53" s="30">
        <f>+H65</f>
        <v>1495.6447749600002</v>
      </c>
      <c r="I53" s="31">
        <f>+I65</f>
        <v>1.7139197892641245</v>
      </c>
      <c r="J53" s="31">
        <f>+J65</f>
        <v>1.3666202297379531</v>
      </c>
      <c r="K53" s="25"/>
      <c r="L53" s="25"/>
      <c r="CF53" s="13"/>
    </row>
    <row r="54" spans="1:84" ht="15.6" hidden="1" x14ac:dyDescent="0.25">
      <c r="A54" s="32" t="s">
        <v>31</v>
      </c>
      <c r="B54" s="36">
        <v>3252.4747547500001</v>
      </c>
      <c r="C54" s="36">
        <v>1950.7451824</v>
      </c>
      <c r="D54" s="36">
        <v>1684.7088636399999</v>
      </c>
      <c r="E54" s="36">
        <v>1210.1969983199999</v>
      </c>
      <c r="F54" s="30">
        <f t="shared" ref="F54:F65" si="7">+D54-E54</f>
        <v>474.51186531999997</v>
      </c>
      <c r="G54" s="30">
        <f t="shared" ref="G54:G65" si="8">+C54-D54</f>
        <v>266.03631876000009</v>
      </c>
      <c r="H54" s="33">
        <f t="shared" ref="H54:H65" si="9">+B54-C54</f>
        <v>1301.7295723500001</v>
      </c>
      <c r="I54" s="31">
        <f>B54/1596.8</f>
        <v>2.0368704626440381</v>
      </c>
      <c r="J54" s="31">
        <f>C54/1460.3</f>
        <v>1.3358523470519756</v>
      </c>
      <c r="K54" s="25"/>
      <c r="L54" s="25"/>
      <c r="CE54" s="10">
        <v>1214</v>
      </c>
      <c r="CF54" s="13">
        <f t="shared" si="0"/>
        <v>1214</v>
      </c>
    </row>
    <row r="55" spans="1:84" ht="15.6" hidden="1" x14ac:dyDescent="0.25">
      <c r="A55" s="32" t="s">
        <v>32</v>
      </c>
      <c r="B55" s="36">
        <v>3348.4689976199998</v>
      </c>
      <c r="C55" s="36">
        <v>2078.7716244099997</v>
      </c>
      <c r="D55" s="36">
        <v>1787.5188286800001</v>
      </c>
      <c r="E55" s="36">
        <v>1287.6298033999999</v>
      </c>
      <c r="F55" s="30">
        <f t="shared" si="7"/>
        <v>499.88902528000017</v>
      </c>
      <c r="G55" s="30">
        <f t="shared" si="8"/>
        <v>291.25279572999966</v>
      </c>
      <c r="H55" s="33">
        <f t="shared" si="9"/>
        <v>1269.69737321</v>
      </c>
      <c r="I55" s="31">
        <f>B55/1698.8</f>
        <v>1.9710789955380268</v>
      </c>
      <c r="J55" s="31">
        <f>C55/1563.7</f>
        <v>1.3293928659013876</v>
      </c>
      <c r="K55" s="25"/>
      <c r="L55" s="25"/>
      <c r="CE55" s="10">
        <v>-745</v>
      </c>
      <c r="CF55" s="13">
        <f t="shared" si="0"/>
        <v>-745</v>
      </c>
    </row>
    <row r="56" spans="1:84" ht="15.6" hidden="1" x14ac:dyDescent="0.25">
      <c r="A56" s="32" t="s">
        <v>33</v>
      </c>
      <c r="B56" s="36">
        <v>3464.4332316299997</v>
      </c>
      <c r="C56" s="36">
        <v>2216.0282588099999</v>
      </c>
      <c r="D56" s="36">
        <v>1874.2666101700001</v>
      </c>
      <c r="E56" s="36">
        <v>1357.2281392</v>
      </c>
      <c r="F56" s="30">
        <f t="shared" si="7"/>
        <v>517.03847097000016</v>
      </c>
      <c r="G56" s="30">
        <f t="shared" si="8"/>
        <v>341.76164863999975</v>
      </c>
      <c r="H56" s="33">
        <f t="shared" si="9"/>
        <v>1248.4049728199998</v>
      </c>
      <c r="I56" s="31">
        <f>B56/1798.4</f>
        <v>1.9263974820006671</v>
      </c>
      <c r="J56" s="31">
        <f>C56/1662.5</f>
        <v>1.3329493286075187</v>
      </c>
      <c r="K56" s="25"/>
      <c r="L56" s="25"/>
      <c r="CE56" s="10">
        <v>0</v>
      </c>
      <c r="CF56" s="13">
        <f>CA56+CB56+CC56+CE56</f>
        <v>0</v>
      </c>
    </row>
    <row r="57" spans="1:84" ht="15.6" hidden="1" x14ac:dyDescent="0.25">
      <c r="A57" s="32" t="s">
        <v>34</v>
      </c>
      <c r="B57" s="36">
        <v>3545.2632317200005</v>
      </c>
      <c r="C57" s="36">
        <v>2340.6354799700002</v>
      </c>
      <c r="D57" s="36">
        <v>1952.6528580300001</v>
      </c>
      <c r="E57" s="36">
        <v>1426.10882416</v>
      </c>
      <c r="F57" s="30">
        <f t="shared" si="7"/>
        <v>526.54403387000002</v>
      </c>
      <c r="G57" s="30">
        <f t="shared" si="8"/>
        <v>387.98262194000017</v>
      </c>
      <c r="H57" s="33">
        <f t="shared" si="9"/>
        <v>1204.6277517500002</v>
      </c>
      <c r="I57" s="31">
        <f>B57/1819.5</f>
        <v>1.9484821279032705</v>
      </c>
      <c r="J57" s="31">
        <f>C57/1685.8</f>
        <v>1.3884419741191127</v>
      </c>
      <c r="K57" s="25"/>
      <c r="L57" s="25"/>
      <c r="CE57" s="10">
        <v>15</v>
      </c>
      <c r="CF57" s="13">
        <f>CA57+CB57+CC57+CE57</f>
        <v>15</v>
      </c>
    </row>
    <row r="58" spans="1:84" ht="15.6" hidden="1" x14ac:dyDescent="0.25">
      <c r="A58" s="32" t="s">
        <v>35</v>
      </c>
      <c r="B58" s="36">
        <v>3784.9686775000009</v>
      </c>
      <c r="C58" s="36">
        <v>2523.2134007700006</v>
      </c>
      <c r="D58" s="36">
        <v>2066.6299545500001</v>
      </c>
      <c r="E58" s="36">
        <v>1534.8437348000002</v>
      </c>
      <c r="F58" s="30">
        <f t="shared" si="7"/>
        <v>531.78621974999987</v>
      </c>
      <c r="G58" s="30">
        <f t="shared" si="8"/>
        <v>456.5834462200005</v>
      </c>
      <c r="H58" s="33">
        <f t="shared" si="9"/>
        <v>1261.7552767300003</v>
      </c>
      <c r="I58" s="31">
        <f>B58/1907.8</f>
        <v>1.9839441647447327</v>
      </c>
      <c r="J58" s="31">
        <f>C58/1779</f>
        <v>1.4183324343844861</v>
      </c>
      <c r="K58" s="25"/>
      <c r="L58" s="25"/>
      <c r="CE58" s="10">
        <v>-372</v>
      </c>
      <c r="CF58" s="13">
        <f>CA58+CB58+CC58+CE58</f>
        <v>-372</v>
      </c>
    </row>
    <row r="59" spans="1:84" ht="15.6" hidden="1" x14ac:dyDescent="0.25">
      <c r="A59" s="32" t="s">
        <v>36</v>
      </c>
      <c r="B59" s="36">
        <v>4041.23745418</v>
      </c>
      <c r="C59" s="36">
        <v>2739.73652227</v>
      </c>
      <c r="D59" s="36">
        <v>2263.82087899</v>
      </c>
      <c r="E59" s="36">
        <v>1722.58105131</v>
      </c>
      <c r="F59" s="30">
        <f t="shared" si="7"/>
        <v>541.23982767999996</v>
      </c>
      <c r="G59" s="30">
        <f t="shared" si="8"/>
        <v>475.91564328000004</v>
      </c>
      <c r="H59" s="33">
        <f t="shared" si="9"/>
        <v>1301.50093191</v>
      </c>
      <c r="I59" s="31">
        <f>B59/2226</f>
        <v>1.8154705544384546</v>
      </c>
      <c r="J59" s="31">
        <f>C59/2032.4</f>
        <v>1.3480301723430426</v>
      </c>
      <c r="K59" s="25"/>
      <c r="L59" s="25"/>
      <c r="CE59" s="10">
        <v>-231</v>
      </c>
      <c r="CF59" s="13">
        <f>CA59+CB59+CC59+CE59</f>
        <v>-231</v>
      </c>
    </row>
    <row r="60" spans="1:84" ht="15.6" hidden="1" x14ac:dyDescent="0.25">
      <c r="A60" s="32" t="s">
        <v>37</v>
      </c>
      <c r="B60" s="36">
        <v>4341.1953782099999</v>
      </c>
      <c r="C60" s="36">
        <v>3024.8366283599998</v>
      </c>
      <c r="D60" s="36">
        <v>2454.6423128800002</v>
      </c>
      <c r="E60" s="36">
        <v>1877.8959955</v>
      </c>
      <c r="F60" s="30">
        <f t="shared" si="7"/>
        <v>576.74631738000016</v>
      </c>
      <c r="G60" s="30">
        <f t="shared" si="8"/>
        <v>570.19431547999966</v>
      </c>
      <c r="H60" s="33">
        <f t="shared" si="9"/>
        <v>1316.3587498500001</v>
      </c>
      <c r="I60" s="31">
        <f>B60/2388.1</f>
        <v>1.8178448884929441</v>
      </c>
      <c r="J60" s="31">
        <f>C60/2245.9</f>
        <v>1.3468260511866066</v>
      </c>
      <c r="K60" s="25"/>
      <c r="L60" s="25"/>
      <c r="CF60" s="13"/>
    </row>
    <row r="61" spans="1:84" ht="15.6" hidden="1" x14ac:dyDescent="0.25">
      <c r="A61" s="32" t="s">
        <v>38</v>
      </c>
      <c r="B61" s="36">
        <v>4636.0965322399998</v>
      </c>
      <c r="C61" s="36">
        <v>3259.80839982</v>
      </c>
      <c r="D61" s="36">
        <v>2631.5413941099996</v>
      </c>
      <c r="E61" s="36">
        <v>1936.2161557699999</v>
      </c>
      <c r="F61" s="30">
        <f t="shared" si="7"/>
        <v>695.32523833999971</v>
      </c>
      <c r="G61" s="30">
        <f t="shared" si="8"/>
        <v>628.26700571000038</v>
      </c>
      <c r="H61" s="33">
        <f t="shared" si="9"/>
        <v>1376.2881324199998</v>
      </c>
      <c r="I61" s="31">
        <f>B61/2541.3</f>
        <v>1.8243011577696453</v>
      </c>
      <c r="J61" s="31">
        <f>C61/2392.3</f>
        <v>1.3626252559545207</v>
      </c>
      <c r="K61" s="25"/>
      <c r="L61" s="25"/>
      <c r="CE61" s="10">
        <f>CE7+CE45-CE47+CE58-CE59</f>
        <v>0</v>
      </c>
      <c r="CF61" s="13">
        <f>CA61+CB61+CC61+CE61</f>
        <v>0</v>
      </c>
    </row>
    <row r="62" spans="1:84" ht="15.6" hidden="1" x14ac:dyDescent="0.25">
      <c r="A62" s="32" t="s">
        <v>39</v>
      </c>
      <c r="B62" s="36">
        <v>4945.0476432100004</v>
      </c>
      <c r="C62" s="36">
        <v>3417.3791418999999</v>
      </c>
      <c r="D62" s="36">
        <v>2765.3386028700002</v>
      </c>
      <c r="E62" s="36">
        <v>2051.98892123</v>
      </c>
      <c r="F62" s="30">
        <f t="shared" si="7"/>
        <v>713.3496816400002</v>
      </c>
      <c r="G62" s="30">
        <f t="shared" si="8"/>
        <v>652.04053902999976</v>
      </c>
      <c r="H62" s="33">
        <f t="shared" si="9"/>
        <v>1527.6685013100005</v>
      </c>
      <c r="I62" s="31">
        <f>B62/2632.9</f>
        <v>1.8781752604390596</v>
      </c>
      <c r="J62" s="31">
        <f>C62/2480.6</f>
        <v>1.3776421599209869</v>
      </c>
      <c r="K62" s="25"/>
      <c r="L62" s="25"/>
    </row>
    <row r="63" spans="1:84" ht="15.6" hidden="1" x14ac:dyDescent="0.25">
      <c r="A63" s="32" t="s">
        <v>40</v>
      </c>
      <c r="B63" s="36">
        <v>5144.8155211899993</v>
      </c>
      <c r="C63" s="36">
        <v>3530.0808482499997</v>
      </c>
      <c r="D63" s="36">
        <v>2831.8089585200005</v>
      </c>
      <c r="E63" s="36">
        <v>2142.5386467900003</v>
      </c>
      <c r="F63" s="30">
        <f t="shared" si="7"/>
        <v>689.27031173000023</v>
      </c>
      <c r="G63" s="30">
        <f t="shared" si="8"/>
        <v>698.2718897299992</v>
      </c>
      <c r="H63" s="33">
        <f t="shared" si="9"/>
        <v>1614.7346729399997</v>
      </c>
      <c r="I63" s="31">
        <f>B63/2690.7</f>
        <v>1.9120732601887984</v>
      </c>
      <c r="J63" s="31">
        <f>C63/2520.5</f>
        <v>1.400547846954969</v>
      </c>
      <c r="K63" s="25"/>
      <c r="L63" s="25"/>
    </row>
    <row r="64" spans="1:84" ht="15.6" hidden="1" x14ac:dyDescent="0.25">
      <c r="A64" s="32" t="s">
        <v>41</v>
      </c>
      <c r="B64" s="36">
        <v>5311.6822035799996</v>
      </c>
      <c r="C64" s="36">
        <v>3769.7125072700001</v>
      </c>
      <c r="D64" s="36">
        <v>3098.6645389199998</v>
      </c>
      <c r="E64" s="36">
        <v>2255.5180723399999</v>
      </c>
      <c r="F64" s="30">
        <f t="shared" si="7"/>
        <v>843.14646657999992</v>
      </c>
      <c r="G64" s="30">
        <f t="shared" si="8"/>
        <v>671.04796835000025</v>
      </c>
      <c r="H64" s="33">
        <f t="shared" si="9"/>
        <v>1541.9696963099996</v>
      </c>
      <c r="I64" s="31">
        <f>B64/2785.1</f>
        <v>1.9071782713654806</v>
      </c>
      <c r="J64" s="31">
        <f>C64/2612.5</f>
        <v>1.4429521558928229</v>
      </c>
      <c r="K64" s="25"/>
      <c r="L64" s="25"/>
    </row>
    <row r="65" spans="1:12" ht="15.6" hidden="1" x14ac:dyDescent="0.25">
      <c r="A65" s="32" t="s">
        <v>42</v>
      </c>
      <c r="B65" s="36">
        <v>5897.2552108999998</v>
      </c>
      <c r="C65" s="36">
        <v>4401.6104359399997</v>
      </c>
      <c r="D65" s="36">
        <v>3621.7123201999998</v>
      </c>
      <c r="E65" s="36">
        <v>2713.50601646</v>
      </c>
      <c r="F65" s="30">
        <f t="shared" si="7"/>
        <v>908.20630373999984</v>
      </c>
      <c r="G65" s="30">
        <f t="shared" si="8"/>
        <v>779.89811573999987</v>
      </c>
      <c r="H65" s="33">
        <f t="shared" si="9"/>
        <v>1495.6447749600002</v>
      </c>
      <c r="I65" s="31">
        <f>B65/3440.8</f>
        <v>1.7139197892641245</v>
      </c>
      <c r="J65" s="31">
        <f>C65/3220.8</f>
        <v>1.3666202297379531</v>
      </c>
      <c r="K65" s="25"/>
      <c r="L65" s="25"/>
    </row>
    <row r="66" spans="1:12" ht="15.6" x14ac:dyDescent="0.25">
      <c r="A66" s="32" t="s">
        <v>43</v>
      </c>
      <c r="B66" s="36">
        <v>8494.2021698699991</v>
      </c>
      <c r="C66" s="36">
        <v>6081.0003026699997</v>
      </c>
      <c r="D66" s="36">
        <v>5104.9499915000006</v>
      </c>
      <c r="E66" s="36">
        <v>4145.6740853499996</v>
      </c>
      <c r="F66" s="36">
        <f>+F78</f>
        <v>959.27590615000099</v>
      </c>
      <c r="G66" s="36">
        <f>+G78</f>
        <v>976.05031116999908</v>
      </c>
      <c r="H66" s="36">
        <f>+H78</f>
        <v>2413.2018671999995</v>
      </c>
      <c r="I66" s="37">
        <f>+I78</f>
        <v>1.7111952637784806</v>
      </c>
      <c r="J66" s="37">
        <f>+J78</f>
        <v>1.2718299003764666</v>
      </c>
      <c r="K66" s="38"/>
      <c r="L66" s="38"/>
    </row>
    <row r="67" spans="1:12" ht="15.6" hidden="1" x14ac:dyDescent="0.25">
      <c r="A67" s="32" t="s">
        <v>31</v>
      </c>
      <c r="B67" s="36">
        <v>5650.3491603600005</v>
      </c>
      <c r="C67" s="36">
        <v>4095.9496440200001</v>
      </c>
      <c r="D67" s="36">
        <v>3269.40837358</v>
      </c>
      <c r="E67" s="36">
        <v>2524.0448842800001</v>
      </c>
      <c r="F67" s="30">
        <f t="shared" ref="F67:F132" si="10">+D67-E67</f>
        <v>745.36348929999986</v>
      </c>
      <c r="G67" s="30">
        <f t="shared" ref="G67:G132" si="11">+C67-D67</f>
        <v>826.54127044000006</v>
      </c>
      <c r="H67" s="33">
        <f t="shared" ref="H67:H78" si="12">+B67-C67</f>
        <v>1554.3995163400004</v>
      </c>
      <c r="I67" s="31">
        <f>B67/3074.5</f>
        <v>1.8378107530850547</v>
      </c>
      <c r="J67" s="31">
        <f>C67/2895.6</f>
        <v>1.4145426315858545</v>
      </c>
      <c r="K67" s="25"/>
      <c r="L67" s="25"/>
    </row>
    <row r="68" spans="1:12" ht="15.6" hidden="1" x14ac:dyDescent="0.25">
      <c r="A68" s="32" t="s">
        <v>32</v>
      </c>
      <c r="B68" s="36">
        <v>6194.9602687000006</v>
      </c>
      <c r="C68" s="36">
        <v>4246.36731977</v>
      </c>
      <c r="D68" s="36">
        <v>3367.0258847700002</v>
      </c>
      <c r="E68" s="36">
        <v>2565.1752142199998</v>
      </c>
      <c r="F68" s="30">
        <f t="shared" si="10"/>
        <v>801.85067055000036</v>
      </c>
      <c r="G68" s="30">
        <f t="shared" si="11"/>
        <v>879.34143499999982</v>
      </c>
      <c r="H68" s="33">
        <f t="shared" si="12"/>
        <v>1948.5929489300006</v>
      </c>
      <c r="I68" s="31">
        <f>B68/3194.3</f>
        <v>1.9393796038881759</v>
      </c>
      <c r="J68" s="31">
        <f>C68/3022</f>
        <v>1.4051513301687624</v>
      </c>
      <c r="K68" s="25"/>
      <c r="L68" s="25"/>
    </row>
    <row r="69" spans="1:12" ht="15.6" hidden="1" x14ac:dyDescent="0.25">
      <c r="A69" s="32" t="s">
        <v>33</v>
      </c>
      <c r="B69" s="36">
        <v>6341.2531672499999</v>
      </c>
      <c r="C69" s="36">
        <v>4428.2279845800003</v>
      </c>
      <c r="D69" s="36">
        <v>3542.3869198499997</v>
      </c>
      <c r="E69" s="36">
        <v>2734.54678031</v>
      </c>
      <c r="F69" s="30">
        <f t="shared" si="10"/>
        <v>807.84013953999965</v>
      </c>
      <c r="G69" s="30">
        <f t="shared" si="11"/>
        <v>885.84106473000065</v>
      </c>
      <c r="H69" s="33">
        <f t="shared" si="12"/>
        <v>1913.0251826699996</v>
      </c>
      <c r="I69" s="31">
        <f>B69/3468</f>
        <v>1.8285043734861592</v>
      </c>
      <c r="J69" s="31">
        <f>C69/3246.4</f>
        <v>1.3640426270884674</v>
      </c>
      <c r="K69" s="25"/>
      <c r="L69" s="25"/>
    </row>
    <row r="70" spans="1:12" ht="15.6" hidden="1" x14ac:dyDescent="0.25">
      <c r="A70" s="32" t="s">
        <v>34</v>
      </c>
      <c r="B70" s="36">
        <v>6549.9193878199994</v>
      </c>
      <c r="C70" s="36">
        <v>4563.1478739799995</v>
      </c>
      <c r="D70" s="36">
        <v>3663.7250187499999</v>
      </c>
      <c r="E70" s="36">
        <v>2867.4752949899998</v>
      </c>
      <c r="F70" s="30">
        <f t="shared" si="10"/>
        <v>796.24972376000005</v>
      </c>
      <c r="G70" s="30">
        <f t="shared" si="11"/>
        <v>899.42285522999964</v>
      </c>
      <c r="H70" s="33">
        <f t="shared" si="12"/>
        <v>1986.7715138399999</v>
      </c>
      <c r="I70" s="31">
        <f>B70/3463.4</f>
        <v>1.8911818986602758</v>
      </c>
      <c r="J70" s="31">
        <f>C70/3291.2</f>
        <v>1.3864693345831307</v>
      </c>
      <c r="K70" s="25"/>
      <c r="L70" s="25"/>
    </row>
    <row r="71" spans="1:12" ht="15.6" hidden="1" x14ac:dyDescent="0.25">
      <c r="A71" s="32" t="s">
        <v>35</v>
      </c>
      <c r="B71" s="36">
        <v>6829.4068000799998</v>
      </c>
      <c r="C71" s="36">
        <v>4598.2767978000002</v>
      </c>
      <c r="D71" s="36">
        <v>3676.01546856</v>
      </c>
      <c r="E71" s="36">
        <v>2971.5302289900001</v>
      </c>
      <c r="F71" s="30">
        <f t="shared" si="10"/>
        <v>704.48523956999998</v>
      </c>
      <c r="G71" s="30">
        <f t="shared" si="11"/>
        <v>922.26132924000012</v>
      </c>
      <c r="H71" s="33">
        <f t="shared" si="12"/>
        <v>2231.1300022799996</v>
      </c>
      <c r="I71" s="31">
        <f>B71/3489.14817723</f>
        <v>1.957327821342858</v>
      </c>
      <c r="J71" s="31">
        <f>C71/3321.22264669</f>
        <v>1.3845132612180453</v>
      </c>
      <c r="K71" s="25"/>
      <c r="L71" s="25"/>
    </row>
    <row r="72" spans="1:12" ht="15.6" hidden="1" x14ac:dyDescent="0.25">
      <c r="A72" s="32" t="s">
        <v>36</v>
      </c>
      <c r="B72" s="36">
        <v>7337.0002905399997</v>
      </c>
      <c r="C72" s="36">
        <v>4933.15039075</v>
      </c>
      <c r="D72" s="36">
        <v>4078.9378283299998</v>
      </c>
      <c r="E72" s="36">
        <v>3193.76416595</v>
      </c>
      <c r="F72" s="30">
        <f t="shared" si="10"/>
        <v>885.17366237999977</v>
      </c>
      <c r="G72" s="30">
        <f t="shared" si="11"/>
        <v>854.21256242000027</v>
      </c>
      <c r="H72" s="33">
        <f t="shared" si="12"/>
        <v>2403.8498997899997</v>
      </c>
      <c r="I72" s="31">
        <f>B72/3959</f>
        <v>1.8532458425208385</v>
      </c>
      <c r="J72" s="31">
        <f>C72/3748.5</f>
        <v>1.3160331841403228</v>
      </c>
      <c r="K72" s="25"/>
      <c r="L72" s="25"/>
    </row>
    <row r="73" spans="1:12" ht="15.6" hidden="1" x14ac:dyDescent="0.25">
      <c r="A73" s="32" t="s">
        <v>37</v>
      </c>
      <c r="B73" s="36">
        <v>7537.3201038000007</v>
      </c>
      <c r="C73" s="36">
        <v>5211.7479659500004</v>
      </c>
      <c r="D73" s="36">
        <v>4282.1702753899999</v>
      </c>
      <c r="E73" s="36">
        <v>3488.2886821000002</v>
      </c>
      <c r="F73" s="30">
        <f t="shared" si="10"/>
        <v>793.88159328999973</v>
      </c>
      <c r="G73" s="30">
        <f t="shared" si="11"/>
        <v>929.57769056000052</v>
      </c>
      <c r="H73" s="33">
        <f t="shared" si="12"/>
        <v>2325.5721378500002</v>
      </c>
      <c r="I73" s="31">
        <f>B73/4072.04521858</f>
        <v>1.8509912584979615</v>
      </c>
      <c r="J73" s="31">
        <f>C73/3872.98985217</f>
        <v>1.3456652779582954</v>
      </c>
      <c r="K73" s="25"/>
      <c r="L73" s="25"/>
    </row>
    <row r="74" spans="1:12" ht="15.6" hidden="1" x14ac:dyDescent="0.25">
      <c r="A74" s="32" t="s">
        <v>38</v>
      </c>
      <c r="B74" s="36">
        <v>7636.6319258300009</v>
      </c>
      <c r="C74" s="36">
        <v>5365.0975741000002</v>
      </c>
      <c r="D74" s="36">
        <v>4403.9727454499998</v>
      </c>
      <c r="E74" s="36">
        <v>3548.55950411</v>
      </c>
      <c r="F74" s="30">
        <f t="shared" si="10"/>
        <v>855.41324133999979</v>
      </c>
      <c r="G74" s="30">
        <f t="shared" si="11"/>
        <v>961.12482865000038</v>
      </c>
      <c r="H74" s="33">
        <f t="shared" si="12"/>
        <v>2271.5343517300007</v>
      </c>
      <c r="I74" s="31">
        <f>B74/4315.17811333</f>
        <v>1.7697141868234154</v>
      </c>
      <c r="J74" s="31">
        <f>C74/4046.66093017</f>
        <v>1.3258085287305286</v>
      </c>
      <c r="K74" s="25"/>
      <c r="L74" s="25"/>
    </row>
    <row r="75" spans="1:12" ht="15.6" hidden="1" x14ac:dyDescent="0.25">
      <c r="A75" s="32" t="s">
        <v>39</v>
      </c>
      <c r="B75" s="36">
        <v>7649.73978162</v>
      </c>
      <c r="C75" s="36">
        <v>5514.4881937399996</v>
      </c>
      <c r="D75" s="36">
        <v>4572.6124263699994</v>
      </c>
      <c r="E75" s="36">
        <v>3632.2613440599998</v>
      </c>
      <c r="F75" s="30">
        <f t="shared" si="10"/>
        <v>940.35108230999958</v>
      </c>
      <c r="G75" s="30">
        <f t="shared" si="11"/>
        <v>941.87576737000018</v>
      </c>
      <c r="H75" s="33">
        <f t="shared" si="12"/>
        <v>2135.2515878800004</v>
      </c>
      <c r="I75" s="31">
        <f>B75/4453.4</f>
        <v>1.7177302244622088</v>
      </c>
      <c r="J75" s="31">
        <f>C75/4172.6</f>
        <v>1.3215952149115657</v>
      </c>
      <c r="K75" s="25"/>
      <c r="L75" s="25"/>
    </row>
    <row r="76" spans="1:12" ht="15.6" hidden="1" x14ac:dyDescent="0.25">
      <c r="A76" s="32" t="s">
        <v>40</v>
      </c>
      <c r="B76" s="36">
        <v>7608.0201146099998</v>
      </c>
      <c r="C76" s="36">
        <v>5443.8339595699999</v>
      </c>
      <c r="D76" s="36">
        <v>4484.6821775400003</v>
      </c>
      <c r="E76" s="36">
        <v>3636.4445339100002</v>
      </c>
      <c r="F76" s="30">
        <f t="shared" si="10"/>
        <v>848.23764363000009</v>
      </c>
      <c r="G76" s="30">
        <f t="shared" si="11"/>
        <v>959.15178202999959</v>
      </c>
      <c r="H76" s="33">
        <f t="shared" si="12"/>
        <v>2164.1861550399999</v>
      </c>
      <c r="I76" s="31">
        <f>B76/4265.6</f>
        <v>1.7835756082637846</v>
      </c>
      <c r="J76" s="31">
        <f>C76/4082</f>
        <v>1.3336192943581577</v>
      </c>
      <c r="K76" s="25"/>
      <c r="L76" s="25"/>
    </row>
    <row r="77" spans="1:12" ht="15.6" hidden="1" x14ac:dyDescent="0.25">
      <c r="A77" s="32" t="s">
        <v>41</v>
      </c>
      <c r="B77" s="36">
        <v>7718.6516730200001</v>
      </c>
      <c r="C77" s="36">
        <v>5512.8204870700001</v>
      </c>
      <c r="D77" s="36">
        <v>4547.8808505199995</v>
      </c>
      <c r="E77" s="36">
        <v>3668.4928589800002</v>
      </c>
      <c r="F77" s="30">
        <f t="shared" si="10"/>
        <v>879.38799153999935</v>
      </c>
      <c r="G77" s="30">
        <f t="shared" si="11"/>
        <v>964.93963655000061</v>
      </c>
      <c r="H77" s="33">
        <f t="shared" si="12"/>
        <v>2205.83118595</v>
      </c>
      <c r="I77" s="31">
        <f>B77/4382.3</f>
        <v>1.7613243440704651</v>
      </c>
      <c r="J77" s="31">
        <f>C77/4212.5</f>
        <v>1.3086814212629081</v>
      </c>
      <c r="K77" s="25"/>
      <c r="L77" s="25"/>
    </row>
    <row r="78" spans="1:12" ht="15.6" hidden="1" x14ac:dyDescent="0.25">
      <c r="A78" s="32" t="s">
        <v>42</v>
      </c>
      <c r="B78" s="36">
        <v>8494.2021698699991</v>
      </c>
      <c r="C78" s="36">
        <v>6081.0003026699997</v>
      </c>
      <c r="D78" s="36">
        <v>5104.9499915000006</v>
      </c>
      <c r="E78" s="36">
        <v>4145.6740853499996</v>
      </c>
      <c r="F78" s="30">
        <f t="shared" si="10"/>
        <v>959.27590615000099</v>
      </c>
      <c r="G78" s="30">
        <f t="shared" si="11"/>
        <v>976.05031116999908</v>
      </c>
      <c r="H78" s="33">
        <f t="shared" si="12"/>
        <v>2413.2018671999995</v>
      </c>
      <c r="I78" s="31">
        <f>B78/4963.9</f>
        <v>1.7111952637784806</v>
      </c>
      <c r="J78" s="31">
        <f>C78/4781.3</f>
        <v>1.2718299003764666</v>
      </c>
      <c r="K78" s="25"/>
      <c r="L78" s="25"/>
    </row>
    <row r="79" spans="1:12" ht="15.6" x14ac:dyDescent="0.25">
      <c r="A79" s="32" t="s">
        <v>44</v>
      </c>
      <c r="B79" s="36">
        <v>8469.18263028</v>
      </c>
      <c r="C79" s="36">
        <v>6169.2249880700001</v>
      </c>
      <c r="D79" s="36">
        <v>5231.2792583800001</v>
      </c>
      <c r="E79" s="36">
        <v>4174.7663068100001</v>
      </c>
      <c r="F79" s="36">
        <f>+F91</f>
        <v>1056.51295157</v>
      </c>
      <c r="G79" s="36">
        <f>+G91</f>
        <v>937.94572969000001</v>
      </c>
      <c r="H79" s="36">
        <f>+H91</f>
        <v>2299.9576422099999</v>
      </c>
      <c r="I79" s="37">
        <f>+I91</f>
        <v>1.7256868059830488</v>
      </c>
      <c r="J79" s="37">
        <f>+J91</f>
        <v>1.2691384628867959</v>
      </c>
      <c r="K79" s="38"/>
      <c r="L79" s="38"/>
    </row>
    <row r="80" spans="1:12" ht="15.6" hidden="1" x14ac:dyDescent="0.25">
      <c r="A80" s="32" t="s">
        <v>31</v>
      </c>
      <c r="B80" s="39">
        <v>8009.2582266299996</v>
      </c>
      <c r="C80" s="39">
        <v>5594.6607752999998</v>
      </c>
      <c r="D80" s="39">
        <v>4685.4993014499996</v>
      </c>
      <c r="E80" s="39">
        <v>3896.0596741599998</v>
      </c>
      <c r="F80" s="33">
        <f t="shared" si="10"/>
        <v>789.43962728999986</v>
      </c>
      <c r="G80" s="33">
        <f t="shared" si="11"/>
        <v>909.16147385000022</v>
      </c>
      <c r="H80" s="33">
        <f t="shared" ref="H80:H91" si="13">+B80-C80</f>
        <v>2414.5974513299998</v>
      </c>
      <c r="I80" s="40">
        <v>1.7990451594655925</v>
      </c>
      <c r="J80" s="40">
        <v>1.301043146556518</v>
      </c>
      <c r="K80" s="19"/>
      <c r="L80" s="19"/>
    </row>
    <row r="81" spans="1:12" ht="15.6" hidden="1" x14ac:dyDescent="0.25">
      <c r="A81" s="32" t="s">
        <v>32</v>
      </c>
      <c r="B81" s="39">
        <v>7328.38921682</v>
      </c>
      <c r="C81" s="39">
        <v>5264.8158648999997</v>
      </c>
      <c r="D81" s="39">
        <v>4486.0894968900002</v>
      </c>
      <c r="E81" s="39">
        <v>3666.8999512700002</v>
      </c>
      <c r="F81" s="33">
        <f t="shared" si="10"/>
        <v>819.18954561999999</v>
      </c>
      <c r="G81" s="33">
        <f t="shared" si="11"/>
        <v>778.72636800999953</v>
      </c>
      <c r="H81" s="33">
        <f t="shared" si="13"/>
        <v>2063.5733519200003</v>
      </c>
      <c r="I81" s="40">
        <v>1.7384663379392344</v>
      </c>
      <c r="J81" s="40">
        <v>1.2754526504594517</v>
      </c>
      <c r="K81" s="19"/>
      <c r="L81" s="19"/>
    </row>
    <row r="82" spans="1:12" ht="15.6" hidden="1" x14ac:dyDescent="0.25">
      <c r="A82" s="32" t="s">
        <v>33</v>
      </c>
      <c r="B82" s="39">
        <v>6397.3836874099998</v>
      </c>
      <c r="C82" s="39">
        <v>4740.8666567799992</v>
      </c>
      <c r="D82" s="39">
        <v>4051.9325383399996</v>
      </c>
      <c r="E82" s="39">
        <v>3304.1378418699996</v>
      </c>
      <c r="F82" s="33">
        <f t="shared" si="10"/>
        <v>747.79469646999996</v>
      </c>
      <c r="G82" s="33">
        <f t="shared" si="11"/>
        <v>688.93411843999957</v>
      </c>
      <c r="H82" s="33">
        <f t="shared" si="13"/>
        <v>1656.5170306300006</v>
      </c>
      <c r="I82" s="40">
        <v>1.7051548590010126</v>
      </c>
      <c r="J82" s="40">
        <v>1.2805974987169444</v>
      </c>
      <c r="K82" s="19"/>
      <c r="L82" s="19"/>
    </row>
    <row r="83" spans="1:12" ht="15.6" hidden="1" x14ac:dyDescent="0.25">
      <c r="A83" s="32" t="s">
        <v>34</v>
      </c>
      <c r="B83" s="39">
        <v>6502.4286633299998</v>
      </c>
      <c r="C83" s="39">
        <v>4732.2624489400005</v>
      </c>
      <c r="D83" s="39">
        <v>4073.9599859900004</v>
      </c>
      <c r="E83" s="39">
        <v>3297.0655940900001</v>
      </c>
      <c r="F83" s="33">
        <f t="shared" si="10"/>
        <v>776.8943919000003</v>
      </c>
      <c r="G83" s="33">
        <f t="shared" si="11"/>
        <v>658.30246295000006</v>
      </c>
      <c r="H83" s="33">
        <f t="shared" si="13"/>
        <v>1770.1662143899994</v>
      </c>
      <c r="I83" s="40">
        <v>1.7375410843598855</v>
      </c>
      <c r="J83" s="40">
        <v>1.2860908794434178</v>
      </c>
      <c r="K83" s="19"/>
      <c r="L83" s="19"/>
    </row>
    <row r="84" spans="1:12" ht="15.6" hidden="1" x14ac:dyDescent="0.25">
      <c r="A84" s="41" t="s">
        <v>35</v>
      </c>
      <c r="B84" s="42">
        <v>6611.9720008499989</v>
      </c>
      <c r="C84" s="42">
        <v>4811.1753836499993</v>
      </c>
      <c r="D84" s="42">
        <v>4138.5047339299999</v>
      </c>
      <c r="E84" s="42">
        <v>3396.6899968799999</v>
      </c>
      <c r="F84" s="33">
        <f t="shared" si="10"/>
        <v>741.81473705000008</v>
      </c>
      <c r="G84" s="33">
        <f t="shared" si="11"/>
        <v>672.67064971999935</v>
      </c>
      <c r="H84" s="33">
        <f t="shared" si="13"/>
        <v>1800.7966171999997</v>
      </c>
      <c r="I84" s="43">
        <v>1.7039041360649401</v>
      </c>
      <c r="J84" s="43">
        <v>1.2593116084282161</v>
      </c>
      <c r="K84" s="44"/>
      <c r="L84" s="44"/>
    </row>
    <row r="85" spans="1:12" ht="15.6" hidden="1" x14ac:dyDescent="0.25">
      <c r="A85" s="32" t="s">
        <v>36</v>
      </c>
      <c r="B85" s="39">
        <v>6693.9261326299993</v>
      </c>
      <c r="C85" s="39">
        <v>4872.0269019699999</v>
      </c>
      <c r="D85" s="39">
        <v>4188.4217330499996</v>
      </c>
      <c r="E85" s="39">
        <v>3486.3568428899998</v>
      </c>
      <c r="F85" s="33">
        <f t="shared" si="10"/>
        <v>702.06489015999978</v>
      </c>
      <c r="G85" s="33">
        <f t="shared" si="11"/>
        <v>683.60516892000032</v>
      </c>
      <c r="H85" s="33">
        <f t="shared" si="13"/>
        <v>1821.8992306599994</v>
      </c>
      <c r="I85" s="40">
        <v>1.7008654671790833</v>
      </c>
      <c r="J85" s="40">
        <v>1.2528033382113193</v>
      </c>
      <c r="K85" s="19"/>
      <c r="L85" s="19"/>
    </row>
    <row r="86" spans="1:12" s="45" customFormat="1" ht="15.6" hidden="1" x14ac:dyDescent="0.25">
      <c r="A86" s="41" t="s">
        <v>37</v>
      </c>
      <c r="B86" s="42">
        <v>7582.3861545300006</v>
      </c>
      <c r="C86" s="42">
        <v>5091.55427401</v>
      </c>
      <c r="D86" s="42">
        <v>4356.1868993100006</v>
      </c>
      <c r="E86" s="42">
        <v>3657.4841615200003</v>
      </c>
      <c r="F86" s="33">
        <f t="shared" si="10"/>
        <v>698.70273779000036</v>
      </c>
      <c r="G86" s="33">
        <f t="shared" si="11"/>
        <v>735.36737469999935</v>
      </c>
      <c r="H86" s="33">
        <f t="shared" si="13"/>
        <v>2490.8318805200006</v>
      </c>
      <c r="I86" s="43">
        <v>1.8149699595471191</v>
      </c>
      <c r="J86" s="43">
        <v>1.233101644426146</v>
      </c>
      <c r="K86" s="44"/>
      <c r="L86" s="44"/>
    </row>
    <row r="87" spans="1:12" s="45" customFormat="1" ht="15.6" hidden="1" x14ac:dyDescent="0.25">
      <c r="A87" s="41" t="s">
        <v>38</v>
      </c>
      <c r="B87" s="42">
        <v>7569.0508901399999</v>
      </c>
      <c r="C87" s="42">
        <v>5333.4637649400001</v>
      </c>
      <c r="D87" s="42">
        <v>4541.0178756200003</v>
      </c>
      <c r="E87" s="42">
        <v>3651.87011497</v>
      </c>
      <c r="F87" s="33">
        <f t="shared" si="10"/>
        <v>889.14776065000024</v>
      </c>
      <c r="G87" s="33">
        <f t="shared" si="11"/>
        <v>792.44588931999988</v>
      </c>
      <c r="H87" s="33">
        <f t="shared" si="13"/>
        <v>2235.5871251999997</v>
      </c>
      <c r="I87" s="43">
        <v>1.7877254753631404</v>
      </c>
      <c r="J87" s="43">
        <v>1.2783949580393097</v>
      </c>
      <c r="K87" s="44"/>
      <c r="L87" s="44"/>
    </row>
    <row r="88" spans="1:12" ht="15.6" hidden="1" x14ac:dyDescent="0.25">
      <c r="A88" s="41" t="s">
        <v>39</v>
      </c>
      <c r="B88" s="33">
        <v>7458.3547354599996</v>
      </c>
      <c r="C88" s="33">
        <v>5222.3727558999999</v>
      </c>
      <c r="D88" s="33">
        <v>4441.7321645299999</v>
      </c>
      <c r="E88" s="33">
        <v>3620.0601578599999</v>
      </c>
      <c r="F88" s="33">
        <f t="shared" si="10"/>
        <v>821.67200666999997</v>
      </c>
      <c r="G88" s="33">
        <f t="shared" si="11"/>
        <v>780.64059137000004</v>
      </c>
      <c r="H88" s="33">
        <f t="shared" si="13"/>
        <v>2235.9819795599997</v>
      </c>
      <c r="I88" s="40">
        <v>1.7840350416470323</v>
      </c>
      <c r="J88" s="40">
        <v>1.2522564558780156</v>
      </c>
      <c r="K88" s="19"/>
      <c r="L88" s="19"/>
    </row>
    <row r="89" spans="1:12" ht="15.6" hidden="1" x14ac:dyDescent="0.25">
      <c r="A89" s="41" t="s">
        <v>40</v>
      </c>
      <c r="B89" s="33">
        <v>7675.6216840100005</v>
      </c>
      <c r="C89" s="33">
        <v>5388.5222151300004</v>
      </c>
      <c r="D89" s="33">
        <v>4530.5438588400002</v>
      </c>
      <c r="E89" s="33">
        <v>3670.3036857800003</v>
      </c>
      <c r="F89" s="33">
        <f t="shared" si="10"/>
        <v>860.24017305999996</v>
      </c>
      <c r="G89" s="33">
        <f t="shared" si="11"/>
        <v>857.97835629000019</v>
      </c>
      <c r="H89" s="33">
        <f t="shared" si="13"/>
        <v>2287.0994688800001</v>
      </c>
      <c r="I89" s="40">
        <v>1.8214389407357163</v>
      </c>
      <c r="J89" s="40">
        <v>1.284982690948653</v>
      </c>
      <c r="K89" s="19"/>
      <c r="L89" s="19"/>
    </row>
    <row r="90" spans="1:12" ht="15.6" hidden="1" x14ac:dyDescent="0.25">
      <c r="A90" s="32" t="s">
        <v>41</v>
      </c>
      <c r="B90" s="39">
        <v>7904.8852866999987</v>
      </c>
      <c r="C90" s="39">
        <v>5575.5593386</v>
      </c>
      <c r="D90" s="39">
        <v>4694.5699221099994</v>
      </c>
      <c r="E90" s="39">
        <v>3805.7037065799996</v>
      </c>
      <c r="F90" s="33">
        <f t="shared" si="10"/>
        <v>888.86621552999986</v>
      </c>
      <c r="G90" s="33">
        <f t="shared" si="11"/>
        <v>880.98941649000062</v>
      </c>
      <c r="H90" s="33">
        <f t="shared" si="13"/>
        <v>2329.3259480999986</v>
      </c>
      <c r="I90" s="40">
        <v>1.81279982466648</v>
      </c>
      <c r="J90" s="40">
        <v>1.2855564752599749</v>
      </c>
      <c r="K90" s="19"/>
      <c r="L90" s="19"/>
    </row>
    <row r="91" spans="1:12" ht="15.6" hidden="1" x14ac:dyDescent="0.25">
      <c r="A91" s="32" t="s">
        <v>42</v>
      </c>
      <c r="B91" s="39">
        <v>8469.18263028</v>
      </c>
      <c r="C91" s="39">
        <v>6169.2249880700001</v>
      </c>
      <c r="D91" s="39">
        <v>5231.2792583800001</v>
      </c>
      <c r="E91" s="39">
        <v>4174.7663068100001</v>
      </c>
      <c r="F91" s="33">
        <f t="shared" si="10"/>
        <v>1056.51295157</v>
      </c>
      <c r="G91" s="33">
        <f t="shared" si="11"/>
        <v>937.94572969000001</v>
      </c>
      <c r="H91" s="33">
        <f t="shared" si="13"/>
        <v>2299.9576422099999</v>
      </c>
      <c r="I91" s="40">
        <v>1.7256868059830488</v>
      </c>
      <c r="J91" s="40">
        <v>1.2691384628867959</v>
      </c>
      <c r="K91" s="19"/>
      <c r="L91" s="19"/>
    </row>
    <row r="92" spans="1:12" ht="15.6" x14ac:dyDescent="0.25">
      <c r="A92" s="41" t="s">
        <v>45</v>
      </c>
      <c r="B92" s="46">
        <v>10527.48910239</v>
      </c>
      <c r="C92" s="46">
        <v>8297.46906709</v>
      </c>
      <c r="D92" s="46">
        <v>6838.3537267299989</v>
      </c>
      <c r="E92" s="46">
        <v>5455.7837350199998</v>
      </c>
      <c r="F92" s="46">
        <v>1382.5699917099992</v>
      </c>
      <c r="G92" s="46">
        <v>1459.115340360001</v>
      </c>
      <c r="H92" s="46">
        <v>2230.0200353</v>
      </c>
      <c r="I92" s="47">
        <v>1.6144200063892737</v>
      </c>
      <c r="J92" s="47">
        <v>1.2970602237978386</v>
      </c>
      <c r="K92" s="48"/>
      <c r="L92" s="48"/>
    </row>
    <row r="93" spans="1:12" ht="15.6" hidden="1" x14ac:dyDescent="0.25">
      <c r="A93" s="41" t="s">
        <v>31</v>
      </c>
      <c r="B93" s="42">
        <v>8143.7706177500004</v>
      </c>
      <c r="C93" s="42">
        <v>5837.6964127600004</v>
      </c>
      <c r="D93" s="42">
        <v>4848.347930580001</v>
      </c>
      <c r="E93" s="42">
        <v>3972.7692841200001</v>
      </c>
      <c r="F93" s="33">
        <f t="shared" si="10"/>
        <v>875.57864646000098</v>
      </c>
      <c r="G93" s="33">
        <f t="shared" si="11"/>
        <v>989.34848217999934</v>
      </c>
      <c r="H93" s="33">
        <f t="shared" ref="H93:H104" si="14">+B93-C93</f>
        <v>2306.07420499</v>
      </c>
      <c r="I93" s="43">
        <v>1.7726129858431543</v>
      </c>
      <c r="J93" s="43">
        <v>1.2804520090473794</v>
      </c>
      <c r="K93" s="44"/>
      <c r="L93" s="44"/>
    </row>
    <row r="94" spans="1:12" ht="15.6" hidden="1" x14ac:dyDescent="0.25">
      <c r="A94" s="41" t="s">
        <v>32</v>
      </c>
      <c r="B94" s="42">
        <v>8132.5567382199988</v>
      </c>
      <c r="C94" s="42">
        <v>5853.1111007499994</v>
      </c>
      <c r="D94" s="42">
        <v>4970.4537853399997</v>
      </c>
      <c r="E94" s="42">
        <v>4083.8688414499998</v>
      </c>
      <c r="F94" s="33">
        <f t="shared" si="10"/>
        <v>886.58494388999998</v>
      </c>
      <c r="G94" s="33">
        <f t="shared" si="11"/>
        <v>882.65731540999968</v>
      </c>
      <c r="H94" s="33">
        <f t="shared" si="14"/>
        <v>2279.4456374699994</v>
      </c>
      <c r="I94" s="43">
        <v>1.7385562403620247</v>
      </c>
      <c r="J94" s="43">
        <v>1.2565393620508165</v>
      </c>
      <c r="K94" s="44"/>
      <c r="L94" s="44"/>
    </row>
    <row r="95" spans="1:12" ht="15.6" hidden="1" x14ac:dyDescent="0.25">
      <c r="A95" s="41" t="s">
        <v>33</v>
      </c>
      <c r="B95" s="42">
        <v>8673.4170052000009</v>
      </c>
      <c r="C95" s="42">
        <v>6182.5589487400002</v>
      </c>
      <c r="D95" s="42">
        <v>5177.4952226300002</v>
      </c>
      <c r="E95" s="42">
        <v>4312.13321894</v>
      </c>
      <c r="F95" s="33">
        <f t="shared" si="10"/>
        <v>865.36200369000017</v>
      </c>
      <c r="G95" s="33">
        <f t="shared" si="11"/>
        <v>1005.0637261100001</v>
      </c>
      <c r="H95" s="33">
        <f t="shared" si="14"/>
        <v>2490.8580564600006</v>
      </c>
      <c r="I95" s="43">
        <v>1.7640777740366431</v>
      </c>
      <c r="J95" s="43">
        <v>1.2612310929447965</v>
      </c>
      <c r="K95" s="44"/>
      <c r="L95" s="44"/>
    </row>
    <row r="96" spans="1:12" ht="15.6" hidden="1" x14ac:dyDescent="0.25">
      <c r="A96" s="41" t="s">
        <v>34</v>
      </c>
      <c r="B96" s="42">
        <v>8735.4667276299988</v>
      </c>
      <c r="C96" s="42">
        <v>6347.7163216399995</v>
      </c>
      <c r="D96" s="42">
        <v>5318.9574413299997</v>
      </c>
      <c r="E96" s="42">
        <v>4434.3171367899995</v>
      </c>
      <c r="F96" s="33">
        <f t="shared" si="10"/>
        <v>884.64030454000022</v>
      </c>
      <c r="G96" s="33">
        <f t="shared" si="11"/>
        <v>1028.7588803099998</v>
      </c>
      <c r="H96" s="33">
        <f t="shared" si="14"/>
        <v>2387.7504059899993</v>
      </c>
      <c r="I96" s="43">
        <v>1.7584212627728233</v>
      </c>
      <c r="J96" s="43">
        <v>1.2807876363030206</v>
      </c>
      <c r="K96" s="44"/>
      <c r="L96" s="44"/>
    </row>
    <row r="97" spans="1:15" ht="15.6" hidden="1" x14ac:dyDescent="0.25">
      <c r="A97" s="41" t="s">
        <v>35</v>
      </c>
      <c r="B97" s="42">
        <v>8929.76618074</v>
      </c>
      <c r="C97" s="42">
        <v>6453.9733412699998</v>
      </c>
      <c r="D97" s="42">
        <v>5415.6387429600009</v>
      </c>
      <c r="E97" s="42">
        <v>4543.4686922600004</v>
      </c>
      <c r="F97" s="33">
        <f t="shared" si="10"/>
        <v>872.1700507000005</v>
      </c>
      <c r="G97" s="33">
        <f t="shared" si="11"/>
        <v>1038.3345983099989</v>
      </c>
      <c r="H97" s="33">
        <f t="shared" si="14"/>
        <v>2475.7928394700002</v>
      </c>
      <c r="I97" s="43">
        <v>1.7689669790696818</v>
      </c>
      <c r="J97" s="43">
        <v>1.2875403278119288</v>
      </c>
      <c r="K97" s="44"/>
      <c r="L97" s="44"/>
    </row>
    <row r="98" spans="1:15" ht="15.6" hidden="1" x14ac:dyDescent="0.25">
      <c r="A98" s="41" t="s">
        <v>36</v>
      </c>
      <c r="B98" s="42">
        <v>9082.4767764299995</v>
      </c>
      <c r="C98" s="42">
        <v>6629.4488834099993</v>
      </c>
      <c r="D98" s="42">
        <v>5522.228011279999</v>
      </c>
      <c r="E98" s="42">
        <v>4587.3126537899989</v>
      </c>
      <c r="F98" s="33">
        <f t="shared" si="10"/>
        <v>934.91535749000013</v>
      </c>
      <c r="G98" s="33">
        <f t="shared" si="11"/>
        <v>1107.2208721300003</v>
      </c>
      <c r="H98" s="33">
        <f t="shared" si="14"/>
        <v>2453.0278930200002</v>
      </c>
      <c r="I98" s="43">
        <v>1.7679447607429613</v>
      </c>
      <c r="J98" s="43">
        <v>1.2957368582073303</v>
      </c>
      <c r="K98" s="44"/>
      <c r="L98" s="44"/>
    </row>
    <row r="99" spans="1:15" ht="15.6" hidden="1" x14ac:dyDescent="0.25">
      <c r="A99" s="41" t="s">
        <v>37</v>
      </c>
      <c r="B99" s="42">
        <v>9054.4651419000002</v>
      </c>
      <c r="C99" s="42">
        <v>6892.0023660900006</v>
      </c>
      <c r="D99" s="42">
        <v>5741.26512447</v>
      </c>
      <c r="E99" s="42">
        <v>4811.4484944200003</v>
      </c>
      <c r="F99" s="33">
        <f t="shared" si="10"/>
        <v>929.81663004999973</v>
      </c>
      <c r="G99" s="33">
        <f t="shared" si="11"/>
        <v>1150.7372416200005</v>
      </c>
      <c r="H99" s="33">
        <f t="shared" si="14"/>
        <v>2162.4627758099996</v>
      </c>
      <c r="I99" s="43">
        <v>1.7046010768477728</v>
      </c>
      <c r="J99" s="43">
        <v>1.3005245876891725</v>
      </c>
      <c r="K99" s="44"/>
      <c r="L99" s="44"/>
    </row>
    <row r="100" spans="1:15" ht="15.6" hidden="1" x14ac:dyDescent="0.25">
      <c r="A100" s="41" t="s">
        <v>38</v>
      </c>
      <c r="B100" s="42">
        <v>9315.0059182199984</v>
      </c>
      <c r="C100" s="42">
        <v>7046.6076046599992</v>
      </c>
      <c r="D100" s="42">
        <v>5790.0133649699992</v>
      </c>
      <c r="E100" s="42">
        <v>4850.8000458299994</v>
      </c>
      <c r="F100" s="33">
        <f t="shared" si="10"/>
        <v>939.21331913999984</v>
      </c>
      <c r="G100" s="33">
        <f t="shared" si="11"/>
        <v>1256.59423969</v>
      </c>
      <c r="H100" s="33">
        <f t="shared" si="14"/>
        <v>2268.3983135599992</v>
      </c>
      <c r="I100" s="43">
        <v>1.7297488067256579</v>
      </c>
      <c r="J100" s="43">
        <v>1.3113717116942596</v>
      </c>
      <c r="K100" s="44"/>
      <c r="L100" s="44"/>
    </row>
    <row r="101" spans="1:15" ht="15.6" hidden="1" x14ac:dyDescent="0.25">
      <c r="A101" s="41" t="s">
        <v>39</v>
      </c>
      <c r="B101" s="42">
        <v>9389.968013579999</v>
      </c>
      <c r="C101" s="42">
        <v>7156.0729733199987</v>
      </c>
      <c r="D101" s="42">
        <v>5884.0097125099992</v>
      </c>
      <c r="E101" s="42">
        <v>4897.4012645999992</v>
      </c>
      <c r="F101" s="33">
        <f t="shared" si="10"/>
        <v>986.60844791</v>
      </c>
      <c r="G101" s="33">
        <f t="shared" si="11"/>
        <v>1272.0632608099995</v>
      </c>
      <c r="H101" s="33">
        <f t="shared" si="14"/>
        <v>2233.8950402600003</v>
      </c>
      <c r="I101" s="43">
        <v>1.7022979460261123</v>
      </c>
      <c r="J101" s="43">
        <v>1.3000133142599655</v>
      </c>
      <c r="K101" s="44"/>
      <c r="L101" s="44"/>
    </row>
    <row r="102" spans="1:15" ht="15.6" hidden="1" x14ac:dyDescent="0.25">
      <c r="A102" s="41" t="s">
        <v>40</v>
      </c>
      <c r="B102" s="42">
        <v>9619.9188194400012</v>
      </c>
      <c r="C102" s="42">
        <v>7314.5376940000006</v>
      </c>
      <c r="D102" s="42">
        <v>5992.1865162500008</v>
      </c>
      <c r="E102" s="42">
        <v>4942.5934275</v>
      </c>
      <c r="F102" s="33">
        <f t="shared" si="10"/>
        <v>1049.5930887500008</v>
      </c>
      <c r="G102" s="33">
        <f t="shared" si="11"/>
        <v>1322.3511777499998</v>
      </c>
      <c r="H102" s="33">
        <f t="shared" si="14"/>
        <v>2305.3811254400007</v>
      </c>
      <c r="I102" s="43">
        <v>1.6993659449658796</v>
      </c>
      <c r="J102" s="43">
        <v>1.2954592707345145</v>
      </c>
      <c r="K102" s="44"/>
      <c r="L102" s="44"/>
    </row>
    <row r="103" spans="1:15" ht="15.6" hidden="1" x14ac:dyDescent="0.25">
      <c r="A103" s="41" t="s">
        <v>41</v>
      </c>
      <c r="B103" s="42">
        <v>9620.7746167400001</v>
      </c>
      <c r="C103" s="42">
        <v>7417.6583926100002</v>
      </c>
      <c r="D103" s="42">
        <v>5946.4804628800011</v>
      </c>
      <c r="E103" s="42">
        <v>4994.3238582200001</v>
      </c>
      <c r="F103" s="33">
        <f t="shared" si="10"/>
        <v>952.15660466000099</v>
      </c>
      <c r="G103" s="33">
        <f t="shared" si="11"/>
        <v>1471.1779297299991</v>
      </c>
      <c r="H103" s="33">
        <f t="shared" si="14"/>
        <v>2203.1162241299999</v>
      </c>
      <c r="I103" s="43">
        <v>1.7110129253076456</v>
      </c>
      <c r="J103" s="43">
        <v>1.3232798627129729</v>
      </c>
      <c r="K103" s="44"/>
      <c r="L103" s="44"/>
    </row>
    <row r="104" spans="1:15" ht="15.6" hidden="1" x14ac:dyDescent="0.25">
      <c r="A104" s="41" t="s">
        <v>42</v>
      </c>
      <c r="B104" s="42">
        <v>10527.48910239</v>
      </c>
      <c r="C104" s="42">
        <v>8297.46906709</v>
      </c>
      <c r="D104" s="42">
        <v>6838.3537267299989</v>
      </c>
      <c r="E104" s="42">
        <v>5455.7837350199998</v>
      </c>
      <c r="F104" s="33">
        <f t="shared" si="10"/>
        <v>1382.5699917099992</v>
      </c>
      <c r="G104" s="33">
        <f t="shared" si="11"/>
        <v>1459.115340360001</v>
      </c>
      <c r="H104" s="33">
        <f t="shared" si="14"/>
        <v>2230.0200353</v>
      </c>
      <c r="I104" s="43">
        <v>1.6144200063892737</v>
      </c>
      <c r="J104" s="43">
        <v>1.2970602237978386</v>
      </c>
      <c r="K104" s="44"/>
      <c r="L104" s="44"/>
    </row>
    <row r="105" spans="1:15" ht="15.6" x14ac:dyDescent="0.25">
      <c r="A105" s="41" t="s">
        <v>46</v>
      </c>
      <c r="B105" s="49">
        <v>13903.175588120001</v>
      </c>
      <c r="C105" s="49">
        <v>10997.158822920001</v>
      </c>
      <c r="D105" s="49">
        <v>8796.0136600800015</v>
      </c>
      <c r="E105" s="49">
        <v>7158.1555464000012</v>
      </c>
      <c r="F105" s="50">
        <v>1637.8600000000006</v>
      </c>
      <c r="G105" s="50">
        <v>2201.1499999999996</v>
      </c>
      <c r="H105" s="50">
        <v>2906.0167652</v>
      </c>
      <c r="I105" s="51">
        <v>1.6377422401306216</v>
      </c>
      <c r="J105" s="51">
        <v>1.3289385404996497</v>
      </c>
      <c r="K105" s="52"/>
      <c r="L105" s="52"/>
    </row>
    <row r="106" spans="1:15" ht="15.6" hidden="1" x14ac:dyDescent="0.25">
      <c r="A106" s="41" t="s">
        <v>31</v>
      </c>
      <c r="B106" s="42">
        <v>10107.260521460001</v>
      </c>
      <c r="C106" s="42">
        <v>7763.8045956900005</v>
      </c>
      <c r="D106" s="42">
        <v>6294.9026814899998</v>
      </c>
      <c r="E106" s="42">
        <v>5266.8241358200003</v>
      </c>
      <c r="F106" s="33">
        <f t="shared" si="10"/>
        <v>1028.0785456699996</v>
      </c>
      <c r="G106" s="33">
        <f t="shared" si="11"/>
        <v>1468.9019142000006</v>
      </c>
      <c r="H106" s="33">
        <f t="shared" ref="H106:H117" si="15">+B106-C106</f>
        <v>2343.4559257700002</v>
      </c>
      <c r="I106" s="43">
        <v>1.6802706294479797</v>
      </c>
      <c r="J106" s="43">
        <v>1.302515061942485</v>
      </c>
      <c r="K106" s="44"/>
      <c r="L106" s="44"/>
    </row>
    <row r="107" spans="1:15" ht="15.6" hidden="1" x14ac:dyDescent="0.25">
      <c r="A107" s="41" t="s">
        <v>32</v>
      </c>
      <c r="B107" s="42">
        <v>10272.605777700001</v>
      </c>
      <c r="C107" s="42">
        <v>7907.6871624700007</v>
      </c>
      <c r="D107" s="42">
        <v>6481.7030081900002</v>
      </c>
      <c r="E107" s="42">
        <v>5363.0863719600002</v>
      </c>
      <c r="F107" s="33">
        <f t="shared" si="10"/>
        <v>1118.61663623</v>
      </c>
      <c r="G107" s="33">
        <f t="shared" si="11"/>
        <v>1425.9841542800004</v>
      </c>
      <c r="H107" s="33">
        <f t="shared" si="15"/>
        <v>2364.9186152299999</v>
      </c>
      <c r="I107" s="43">
        <v>1.6783976910372174</v>
      </c>
      <c r="J107" s="43">
        <v>1.2964408994156833</v>
      </c>
      <c r="K107" s="44"/>
      <c r="L107" s="44"/>
    </row>
    <row r="108" spans="1:15" ht="15.6" hidden="1" x14ac:dyDescent="0.25">
      <c r="A108" s="41" t="s">
        <v>33</v>
      </c>
      <c r="B108" s="42">
        <v>10757.400264010001</v>
      </c>
      <c r="C108" s="42">
        <v>8115.4929009299995</v>
      </c>
      <c r="D108" s="42">
        <v>6618.4061489300002</v>
      </c>
      <c r="E108" s="42">
        <v>5427.0536122099993</v>
      </c>
      <c r="F108" s="33">
        <f t="shared" si="10"/>
        <v>1191.3525367200009</v>
      </c>
      <c r="G108" s="33">
        <f t="shared" si="11"/>
        <v>1497.0867519999993</v>
      </c>
      <c r="H108" s="33">
        <f t="shared" si="15"/>
        <v>2641.9073630800012</v>
      </c>
      <c r="I108" s="43">
        <v>1.7121601821226011</v>
      </c>
      <c r="J108" s="43">
        <v>1.2945481505147456</v>
      </c>
      <c r="K108" s="44"/>
      <c r="L108" s="44"/>
    </row>
    <row r="109" spans="1:15" ht="15.6" hidden="1" x14ac:dyDescent="0.25">
      <c r="A109" s="32" t="s">
        <v>34</v>
      </c>
      <c r="B109" s="39">
        <v>10760.569371239999</v>
      </c>
      <c r="C109" s="39">
        <v>8176.43909859</v>
      </c>
      <c r="D109" s="39">
        <v>6635.0757591900001</v>
      </c>
      <c r="E109" s="39">
        <v>5457.8029094800004</v>
      </c>
      <c r="F109" s="33">
        <f t="shared" si="10"/>
        <v>1177.2728497099997</v>
      </c>
      <c r="G109" s="33">
        <f t="shared" si="11"/>
        <v>1541.3633393999999</v>
      </c>
      <c r="H109" s="33">
        <f t="shared" si="15"/>
        <v>2584.1302726499989</v>
      </c>
      <c r="I109" s="40">
        <f>B109/6191.62829426</f>
        <v>1.7379223783856135</v>
      </c>
      <c r="J109" s="40">
        <f>C109/6167.31288611</f>
        <v>1.3257701124593413</v>
      </c>
      <c r="K109" s="19"/>
      <c r="L109" s="19"/>
      <c r="O109" s="53"/>
    </row>
    <row r="110" spans="1:15" ht="15.6" hidden="1" x14ac:dyDescent="0.25">
      <c r="A110" s="32" t="s">
        <v>35</v>
      </c>
      <c r="B110" s="39">
        <v>11056.133248170001</v>
      </c>
      <c r="C110" s="39">
        <v>8392.0020107100008</v>
      </c>
      <c r="D110" s="39">
        <v>6809.2636371099998</v>
      </c>
      <c r="E110" s="39">
        <v>5610.2920020700003</v>
      </c>
      <c r="F110" s="33">
        <f t="shared" si="10"/>
        <v>1198.9716350399995</v>
      </c>
      <c r="G110" s="33">
        <f t="shared" si="11"/>
        <v>1582.7383736000011</v>
      </c>
      <c r="H110" s="33">
        <f t="shared" si="15"/>
        <v>2664.1312374600002</v>
      </c>
      <c r="I110" s="40">
        <f>B110/6294.42259615</f>
        <v>1.7564968159164456</v>
      </c>
      <c r="J110" s="40">
        <f>C110/6244.92660615</f>
        <v>1.3438111510302719</v>
      </c>
      <c r="K110" s="19"/>
      <c r="L110" s="19"/>
    </row>
    <row r="111" spans="1:15" ht="15.6" hidden="1" x14ac:dyDescent="0.25">
      <c r="A111" s="32" t="s">
        <v>36</v>
      </c>
      <c r="B111" s="39">
        <v>11412.516171699999</v>
      </c>
      <c r="C111" s="39">
        <v>8735.36012544</v>
      </c>
      <c r="D111" s="39">
        <v>7102.8384054399994</v>
      </c>
      <c r="E111" s="39">
        <v>5851.6340985999996</v>
      </c>
      <c r="F111" s="33">
        <f t="shared" si="10"/>
        <v>1251.2043068399998</v>
      </c>
      <c r="G111" s="33">
        <f t="shared" si="11"/>
        <v>1632.5217200000006</v>
      </c>
      <c r="H111" s="33">
        <f t="shared" si="15"/>
        <v>2677.1560462599991</v>
      </c>
      <c r="I111" s="40">
        <f>B111/6552.35453481</f>
        <v>1.7417427752222401</v>
      </c>
      <c r="J111" s="40">
        <f>C111/6497.69278658</f>
        <v>1.3443787529446702</v>
      </c>
      <c r="K111" s="19"/>
      <c r="L111" s="19"/>
    </row>
    <row r="112" spans="1:15" ht="15.6" hidden="1" x14ac:dyDescent="0.25">
      <c r="A112" s="32" t="s">
        <v>37</v>
      </c>
      <c r="B112" s="39">
        <v>11921.22770354</v>
      </c>
      <c r="C112" s="39">
        <v>9351.3794538900001</v>
      </c>
      <c r="D112" s="39">
        <v>7660.5257831799991</v>
      </c>
      <c r="E112" s="39">
        <v>6198.9877103499994</v>
      </c>
      <c r="F112" s="33">
        <f t="shared" si="10"/>
        <v>1461.5380728299997</v>
      </c>
      <c r="G112" s="33">
        <f t="shared" si="11"/>
        <v>1690.8536707100011</v>
      </c>
      <c r="H112" s="33">
        <f t="shared" si="15"/>
        <v>2569.8482496500001</v>
      </c>
      <c r="I112" s="40">
        <f>B112/6940.64675124</f>
        <v>1.7175960873401575</v>
      </c>
      <c r="J112" s="40">
        <f>C112/6858.11207583</f>
        <v>1.3635501068649791</v>
      </c>
      <c r="K112" s="19"/>
      <c r="L112" s="19"/>
    </row>
    <row r="113" spans="1:12" ht="15.6" hidden="1" x14ac:dyDescent="0.25">
      <c r="A113" s="32" t="s">
        <v>38</v>
      </c>
      <c r="B113" s="39">
        <v>12336.246017520003</v>
      </c>
      <c r="C113" s="39">
        <v>9569.8319123600013</v>
      </c>
      <c r="D113" s="39">
        <v>7870.5156765500005</v>
      </c>
      <c r="E113" s="39">
        <v>6493.7353910200009</v>
      </c>
      <c r="F113" s="33">
        <f t="shared" si="10"/>
        <v>1376.7802855299997</v>
      </c>
      <c r="G113" s="33">
        <f t="shared" si="11"/>
        <v>1699.3162358100008</v>
      </c>
      <c r="H113" s="33">
        <f t="shared" si="15"/>
        <v>2766.4141051600018</v>
      </c>
      <c r="I113" s="40">
        <f>B113/7202.82493406</f>
        <v>1.7126955230003709</v>
      </c>
      <c r="J113" s="40">
        <f>C113/7119.32928233</f>
        <v>1.3442041423919089</v>
      </c>
      <c r="K113" s="19"/>
      <c r="L113" s="19"/>
    </row>
    <row r="114" spans="1:12" ht="15.6" hidden="1" x14ac:dyDescent="0.25">
      <c r="A114" s="32" t="s">
        <v>39</v>
      </c>
      <c r="B114" s="39">
        <v>12652.172385250002</v>
      </c>
      <c r="C114" s="39">
        <v>9630.2770908400016</v>
      </c>
      <c r="D114" s="39">
        <v>7798.2984794500007</v>
      </c>
      <c r="E114" s="39">
        <v>6465.9048142400006</v>
      </c>
      <c r="F114" s="33">
        <f t="shared" si="10"/>
        <v>1332.3936652100001</v>
      </c>
      <c r="G114" s="33">
        <f t="shared" si="11"/>
        <v>1831.9786113900009</v>
      </c>
      <c r="H114" s="33">
        <f t="shared" si="15"/>
        <v>3021.8952944100001</v>
      </c>
      <c r="I114" s="40">
        <f>B114/7281.48469652</f>
        <v>1.7375814016744118</v>
      </c>
      <c r="J114" s="40">
        <f>C114/7206.52797317</f>
        <v>1.3363268867745539</v>
      </c>
      <c r="K114" s="19"/>
      <c r="L114" s="19"/>
    </row>
    <row r="115" spans="1:12" ht="15.6" hidden="1" x14ac:dyDescent="0.25">
      <c r="A115" s="32" t="s">
        <v>40</v>
      </c>
      <c r="B115" s="39">
        <v>12652.22116963</v>
      </c>
      <c r="C115" s="39">
        <v>9748.6448836399995</v>
      </c>
      <c r="D115" s="39">
        <v>7825.4983056599995</v>
      </c>
      <c r="E115" s="39">
        <v>6505.2744384799998</v>
      </c>
      <c r="F115" s="33">
        <f t="shared" si="10"/>
        <v>1320.2238671799996</v>
      </c>
      <c r="G115" s="33">
        <f t="shared" si="11"/>
        <v>1923.1465779800001</v>
      </c>
      <c r="H115" s="33">
        <f t="shared" si="15"/>
        <v>2903.5762859900005</v>
      </c>
      <c r="I115" s="40">
        <f>B115/7270.39415221</f>
        <v>1.7402386864794768</v>
      </c>
      <c r="J115" s="40">
        <f>C115/7189.74913467</f>
        <v>1.3559089060048894</v>
      </c>
      <c r="K115" s="19"/>
      <c r="L115" s="19"/>
    </row>
    <row r="116" spans="1:12" ht="15.6" hidden="1" x14ac:dyDescent="0.25">
      <c r="A116" s="32" t="s">
        <v>41</v>
      </c>
      <c r="B116" s="39">
        <v>12830.739520470001</v>
      </c>
      <c r="C116" s="39">
        <v>9991.944854450001</v>
      </c>
      <c r="D116" s="39">
        <v>8022.57158936</v>
      </c>
      <c r="E116" s="39">
        <v>6529.3823573</v>
      </c>
      <c r="F116" s="33">
        <f t="shared" si="10"/>
        <v>1493.18923206</v>
      </c>
      <c r="G116" s="33">
        <f t="shared" si="11"/>
        <v>1969.373265090001</v>
      </c>
      <c r="H116" s="33">
        <f t="shared" si="15"/>
        <v>2838.7946660199996</v>
      </c>
      <c r="I116" s="40">
        <f>B116/7494.35987203</f>
        <v>1.7120527622854245</v>
      </c>
      <c r="J116" s="40">
        <f>C116/7417.40260057</f>
        <v>1.3470948514621759</v>
      </c>
      <c r="K116" s="19"/>
      <c r="L116" s="19"/>
    </row>
    <row r="117" spans="1:12" ht="15.6" hidden="1" x14ac:dyDescent="0.25">
      <c r="A117" s="32" t="s">
        <v>42</v>
      </c>
      <c r="B117" s="39">
        <v>13903.175588120001</v>
      </c>
      <c r="C117" s="39">
        <v>10997.158822920001</v>
      </c>
      <c r="D117" s="39">
        <v>8796.0136600800015</v>
      </c>
      <c r="E117" s="39">
        <v>7158.1555464000012</v>
      </c>
      <c r="F117" s="33">
        <f t="shared" si="10"/>
        <v>1637.8581136800003</v>
      </c>
      <c r="G117" s="33">
        <f t="shared" si="11"/>
        <v>2201.1451628399991</v>
      </c>
      <c r="H117" s="33">
        <f t="shared" si="15"/>
        <v>2906.0167652</v>
      </c>
      <c r="I117" s="40">
        <f>B117/8489.40062686</f>
        <v>1.6377099160724151</v>
      </c>
      <c r="J117" s="40">
        <f>C117/8275.34883281</f>
        <v>1.3289057712369301</v>
      </c>
      <c r="K117" s="19"/>
      <c r="L117" s="19"/>
    </row>
    <row r="118" spans="1:12" ht="15.6" x14ac:dyDescent="0.25">
      <c r="A118" s="41" t="s">
        <v>47</v>
      </c>
      <c r="B118" s="46">
        <v>16775.301806390002</v>
      </c>
      <c r="C118" s="46">
        <v>13806.376126880001</v>
      </c>
      <c r="D118" s="46">
        <v>11122.107094140001</v>
      </c>
      <c r="E118" s="46">
        <v>9256.6355256300012</v>
      </c>
      <c r="F118" s="54">
        <f>+D118-E118</f>
        <v>1865.47156851</v>
      </c>
      <c r="G118" s="54">
        <f>+C118-D118</f>
        <v>2684.2690327399996</v>
      </c>
      <c r="H118" s="54">
        <v>2968.92567951</v>
      </c>
      <c r="I118" s="55">
        <f>B118/10660.29095014</f>
        <v>1.5736251369546057</v>
      </c>
      <c r="J118" s="55">
        <f>C118/10514.97205168</f>
        <v>1.3130207155114715</v>
      </c>
      <c r="K118" s="56"/>
      <c r="L118" s="56"/>
    </row>
    <row r="119" spans="1:12" ht="15.6" hidden="1" x14ac:dyDescent="0.25">
      <c r="A119" s="41" t="s">
        <v>31</v>
      </c>
      <c r="B119" s="42">
        <v>13474.6267448</v>
      </c>
      <c r="C119" s="42">
        <v>10550.646729730001</v>
      </c>
      <c r="D119" s="42">
        <v>8326.303340020002</v>
      </c>
      <c r="E119" s="42">
        <v>6810.7901250100012</v>
      </c>
      <c r="F119" s="33">
        <f t="shared" si="10"/>
        <v>1515.5132150100007</v>
      </c>
      <c r="G119" s="33">
        <f t="shared" si="11"/>
        <v>2224.3433897099985</v>
      </c>
      <c r="H119" s="33">
        <f t="shared" ref="H119:H130" si="16">+B119-C119</f>
        <v>2923.9800150699994</v>
      </c>
      <c r="I119" s="43">
        <f>B119/7686.68382912</f>
        <v>1.7529830866404486</v>
      </c>
      <c r="J119" s="43">
        <f>C119/7601.48872794</f>
        <v>1.3879711076792218</v>
      </c>
      <c r="K119" s="44"/>
      <c r="L119" s="44"/>
    </row>
    <row r="120" spans="1:12" ht="15.6" hidden="1" x14ac:dyDescent="0.25">
      <c r="A120" s="41" t="s">
        <v>32</v>
      </c>
      <c r="B120" s="42">
        <v>13799.16187616</v>
      </c>
      <c r="C120" s="42">
        <v>10694.32494869</v>
      </c>
      <c r="D120" s="42">
        <v>8375.6163805699998</v>
      </c>
      <c r="E120" s="42">
        <v>6911.1925890399998</v>
      </c>
      <c r="F120" s="33">
        <f t="shared" si="10"/>
        <v>1464.42379153</v>
      </c>
      <c r="G120" s="33">
        <f t="shared" si="11"/>
        <v>2318.7085681200006</v>
      </c>
      <c r="H120" s="33">
        <f t="shared" si="16"/>
        <v>3104.8369274699999</v>
      </c>
      <c r="I120" s="43">
        <f>B120/7908.65826857</f>
        <v>1.7448170609418796</v>
      </c>
      <c r="J120" s="43">
        <f>C120/7825.1689925</f>
        <v>1.366657379404832</v>
      </c>
      <c r="K120" s="44"/>
      <c r="L120" s="44"/>
    </row>
    <row r="121" spans="1:12" ht="15.6" x14ac:dyDescent="0.25">
      <c r="A121" s="41" t="s">
        <v>33</v>
      </c>
      <c r="B121" s="42">
        <v>14319.88283205</v>
      </c>
      <c r="C121" s="42">
        <v>11263.437944789999</v>
      </c>
      <c r="D121" s="42">
        <v>9009.9064602899998</v>
      </c>
      <c r="E121" s="42">
        <v>7241.3228480300004</v>
      </c>
      <c r="F121" s="33">
        <f t="shared" si="10"/>
        <v>1768.5836122599994</v>
      </c>
      <c r="G121" s="33">
        <f t="shared" si="11"/>
        <v>2253.5314844999994</v>
      </c>
      <c r="H121" s="33">
        <f t="shared" si="16"/>
        <v>3056.4448872600005</v>
      </c>
      <c r="I121" s="43">
        <f>B121/8468.33373691</f>
        <v>1.6909917909394019</v>
      </c>
      <c r="J121" s="43">
        <f>C121/8347.67178633</f>
        <v>1.349290944001273</v>
      </c>
      <c r="K121" s="44"/>
      <c r="L121" s="44"/>
    </row>
    <row r="122" spans="1:12" ht="18.75" hidden="1" customHeight="1" x14ac:dyDescent="0.25">
      <c r="A122" s="41" t="s">
        <v>34</v>
      </c>
      <c r="B122" s="42">
        <v>14346.201608679999</v>
      </c>
      <c r="C122" s="42">
        <v>11202.396400419999</v>
      </c>
      <c r="D122" s="42">
        <v>8987.9618849499984</v>
      </c>
      <c r="E122" s="42">
        <v>7312.7794083499994</v>
      </c>
      <c r="F122" s="33">
        <f t="shared" si="10"/>
        <v>1675.1824765999991</v>
      </c>
      <c r="G122" s="33">
        <f t="shared" si="11"/>
        <v>2214.4345154700004</v>
      </c>
      <c r="H122" s="33">
        <f t="shared" si="16"/>
        <v>3143.8052082600007</v>
      </c>
      <c r="I122" s="43">
        <f>B122/8223.02870273</f>
        <v>1.7446371802055294</v>
      </c>
      <c r="J122" s="43">
        <f>C122/8145.87800788</f>
        <v>1.3752227064514402</v>
      </c>
      <c r="K122" s="44"/>
      <c r="L122" s="44"/>
    </row>
    <row r="123" spans="1:12" ht="15.6" hidden="1" x14ac:dyDescent="0.25">
      <c r="A123" s="41" t="s">
        <v>35</v>
      </c>
      <c r="B123" s="42">
        <v>14579.48424774</v>
      </c>
      <c r="C123" s="42">
        <v>11456.70347266</v>
      </c>
      <c r="D123" s="42">
        <v>9210.4648230599996</v>
      </c>
      <c r="E123" s="42">
        <v>7509.9198136299992</v>
      </c>
      <c r="F123" s="33">
        <f t="shared" si="10"/>
        <v>1700.5450094300004</v>
      </c>
      <c r="G123" s="33">
        <f t="shared" si="11"/>
        <v>2246.2386495999999</v>
      </c>
      <c r="H123" s="33">
        <f t="shared" si="16"/>
        <v>3122.7807750800002</v>
      </c>
      <c r="I123" s="43">
        <f>B123/8457.87975694</f>
        <v>1.7237753038256427</v>
      </c>
      <c r="J123" s="43">
        <f>C123/8373.10387126</f>
        <v>1.3682743757645484</v>
      </c>
      <c r="K123" s="44"/>
      <c r="L123" s="44"/>
    </row>
    <row r="124" spans="1:12" ht="15.6" x14ac:dyDescent="0.25">
      <c r="A124" s="41" t="s">
        <v>36</v>
      </c>
      <c r="B124" s="42">
        <v>14527.482267830001</v>
      </c>
      <c r="C124" s="42">
        <v>11753.663751780001</v>
      </c>
      <c r="D124" s="42">
        <v>9475.3794250899991</v>
      </c>
      <c r="E124" s="42">
        <v>7751.8143008900006</v>
      </c>
      <c r="F124" s="33">
        <f t="shared" si="10"/>
        <v>1723.5651241999985</v>
      </c>
      <c r="G124" s="33">
        <f t="shared" si="11"/>
        <v>2278.2843266900018</v>
      </c>
      <c r="H124" s="33">
        <f t="shared" si="16"/>
        <v>2773.8185160499997</v>
      </c>
      <c r="I124" s="43">
        <f>B124/8730.4</f>
        <v>1.6640110725545223</v>
      </c>
      <c r="J124" s="43">
        <f>C124/8654.4</f>
        <v>1.3581142253397118</v>
      </c>
      <c r="K124" s="44"/>
      <c r="L124" s="44"/>
    </row>
    <row r="125" spans="1:12" ht="15.6" hidden="1" x14ac:dyDescent="0.25">
      <c r="A125" s="41" t="s">
        <v>37</v>
      </c>
      <c r="B125" s="42">
        <v>14703.043142640003</v>
      </c>
      <c r="C125" s="42">
        <v>11971.003045320002</v>
      </c>
      <c r="D125" s="42">
        <v>9688.9205505299997</v>
      </c>
      <c r="E125" s="42">
        <v>8012.34845881</v>
      </c>
      <c r="F125" s="33">
        <f t="shared" si="10"/>
        <v>1676.5720917199997</v>
      </c>
      <c r="G125" s="33">
        <f t="shared" si="11"/>
        <v>2282.0824947900019</v>
      </c>
      <c r="H125" s="33">
        <f t="shared" si="16"/>
        <v>2732.0400973200012</v>
      </c>
      <c r="I125" s="43">
        <f>B125/9039.62873754</f>
        <v>1.6265096244031385</v>
      </c>
      <c r="J125" s="43">
        <f>C125/8940.15190669</f>
        <v>1.339015619674425</v>
      </c>
      <c r="K125" s="44"/>
      <c r="L125" s="44"/>
    </row>
    <row r="126" spans="1:12" ht="15.6" hidden="1" x14ac:dyDescent="0.25">
      <c r="A126" s="41" t="s">
        <v>38</v>
      </c>
      <c r="B126" s="42">
        <v>15002.992194119999</v>
      </c>
      <c r="C126" s="42">
        <v>12218.2895424</v>
      </c>
      <c r="D126" s="42">
        <v>9931.3003141499994</v>
      </c>
      <c r="E126" s="42">
        <v>8134.5739681499999</v>
      </c>
      <c r="F126" s="33">
        <f t="shared" si="10"/>
        <v>1796.7263459999995</v>
      </c>
      <c r="G126" s="33">
        <f t="shared" si="11"/>
        <v>2286.9892282500005</v>
      </c>
      <c r="H126" s="33">
        <f t="shared" si="16"/>
        <v>2784.7026517199993</v>
      </c>
      <c r="I126" s="43">
        <f>B126/9195.7436029</f>
        <v>1.6315148444752858</v>
      </c>
      <c r="J126" s="43">
        <f>C126/9076.35693192</f>
        <v>1.3461667091815614</v>
      </c>
      <c r="K126" s="44"/>
      <c r="L126" s="44"/>
    </row>
    <row r="127" spans="1:12" ht="15.6" x14ac:dyDescent="0.25">
      <c r="A127" s="41" t="s">
        <v>39</v>
      </c>
      <c r="B127" s="42">
        <v>15343.330298140001</v>
      </c>
      <c r="C127" s="42">
        <v>12402.361989680001</v>
      </c>
      <c r="D127" s="42">
        <v>10069.71359757</v>
      </c>
      <c r="E127" s="42">
        <v>8315.4327345600013</v>
      </c>
      <c r="F127" s="33">
        <f t="shared" si="10"/>
        <v>1754.2808630099989</v>
      </c>
      <c r="G127" s="33">
        <f t="shared" si="11"/>
        <v>2332.6483921100007</v>
      </c>
      <c r="H127" s="33">
        <f t="shared" si="16"/>
        <v>2940.9683084600001</v>
      </c>
      <c r="I127" s="43">
        <f>B127/9399.71039137</f>
        <v>1.6323194714836022</v>
      </c>
      <c r="J127" s="43">
        <f>C127/9299.77625118</f>
        <v>1.3336193962845431</v>
      </c>
      <c r="K127" s="44"/>
      <c r="L127" s="44"/>
    </row>
    <row r="128" spans="1:12" ht="15.6" hidden="1" x14ac:dyDescent="0.25">
      <c r="A128" s="41" t="s">
        <v>40</v>
      </c>
      <c r="B128" s="42">
        <v>15606.571210440001</v>
      </c>
      <c r="C128" s="42">
        <v>12563.57153646</v>
      </c>
      <c r="D128" s="42">
        <v>10114.95929513</v>
      </c>
      <c r="E128" s="42">
        <v>8415.5411511500006</v>
      </c>
      <c r="F128" s="33">
        <f t="shared" si="10"/>
        <v>1699.4181439799995</v>
      </c>
      <c r="G128" s="33">
        <f t="shared" si="11"/>
        <v>2448.61224133</v>
      </c>
      <c r="H128" s="33">
        <f t="shared" si="16"/>
        <v>3042.9996739800008</v>
      </c>
      <c r="I128" s="43">
        <f>B128/9365.06754874</f>
        <v>1.6664664861429375</v>
      </c>
      <c r="J128" s="43">
        <f>C128/9291.34120768</f>
        <v>1.3521806223277273</v>
      </c>
      <c r="K128" s="44"/>
      <c r="L128" s="44"/>
    </row>
    <row r="129" spans="1:16" ht="15.6" hidden="1" x14ac:dyDescent="0.25">
      <c r="A129" s="41" t="s">
        <v>41</v>
      </c>
      <c r="B129" s="42">
        <v>15787.743941799999</v>
      </c>
      <c r="C129" s="42">
        <v>12649.589319520001</v>
      </c>
      <c r="D129" s="42">
        <v>10122.484978250002</v>
      </c>
      <c r="E129" s="42">
        <v>8383.5896026300015</v>
      </c>
      <c r="F129" s="33">
        <f t="shared" si="10"/>
        <v>1738.8953756200008</v>
      </c>
      <c r="G129" s="33">
        <f t="shared" si="11"/>
        <v>2527.1043412699983</v>
      </c>
      <c r="H129" s="33">
        <f t="shared" si="16"/>
        <v>3138.1546222799989</v>
      </c>
      <c r="I129" s="43">
        <f>B129/9427.26449336</f>
        <v>1.6746898268230344</v>
      </c>
      <c r="J129" s="43">
        <f>C129/9345.97705817</f>
        <v>1.3534796031263605</v>
      </c>
      <c r="K129" s="44"/>
      <c r="L129" s="44"/>
    </row>
    <row r="130" spans="1:16" ht="15" customHeight="1" x14ac:dyDescent="0.25">
      <c r="A130" s="41" t="s">
        <v>42</v>
      </c>
      <c r="B130" s="42">
        <v>16775.301806390002</v>
      </c>
      <c r="C130" s="42">
        <v>13806.376126880001</v>
      </c>
      <c r="D130" s="42">
        <v>11122.107094140001</v>
      </c>
      <c r="E130" s="42">
        <v>9256.6355256300012</v>
      </c>
      <c r="F130" s="33">
        <f t="shared" si="10"/>
        <v>1865.47156851</v>
      </c>
      <c r="G130" s="33">
        <f t="shared" si="11"/>
        <v>2684.2690327399996</v>
      </c>
      <c r="H130" s="33">
        <f t="shared" si="16"/>
        <v>2968.9256795100009</v>
      </c>
      <c r="I130" s="43">
        <f>B130/10660.29095014</f>
        <v>1.5736251369546057</v>
      </c>
      <c r="J130" s="43">
        <f>C130/10514.97205168</f>
        <v>1.3130207155114715</v>
      </c>
      <c r="K130" s="44"/>
      <c r="L130" s="44"/>
    </row>
    <row r="131" spans="1:16" ht="15.6" x14ac:dyDescent="0.25">
      <c r="A131" s="41" t="s">
        <v>48</v>
      </c>
      <c r="B131" s="46">
        <v>19289.435054590002</v>
      </c>
      <c r="C131" s="46">
        <v>16434.781617190001</v>
      </c>
      <c r="D131" s="46">
        <v>12736.891463010001</v>
      </c>
      <c r="E131" s="46">
        <v>10458.65191457</v>
      </c>
      <c r="F131" s="54">
        <f>+D131-E131</f>
        <v>2278.2395484400004</v>
      </c>
      <c r="G131" s="54">
        <f>+C131-D131</f>
        <v>3697.8901541800005</v>
      </c>
      <c r="H131" s="54">
        <v>2854.6534373999998</v>
      </c>
      <c r="I131" s="55">
        <f>B131/11793.1140687</f>
        <v>1.6356523766513817</v>
      </c>
      <c r="J131" s="55">
        <f>C131/11641.99818107</f>
        <v>1.4116804831590777</v>
      </c>
      <c r="K131" s="56"/>
      <c r="L131" s="56"/>
      <c r="P131" s="57"/>
    </row>
    <row r="132" spans="1:16" ht="15.6" x14ac:dyDescent="0.25">
      <c r="A132" s="41" t="s">
        <v>31</v>
      </c>
      <c r="B132" s="42">
        <v>16619.294003679996</v>
      </c>
      <c r="C132" s="58">
        <v>13685.938089679998</v>
      </c>
      <c r="D132" s="58">
        <v>10644.165181889997</v>
      </c>
      <c r="E132" s="42">
        <v>8817.6326269999972</v>
      </c>
      <c r="F132" s="33">
        <f t="shared" si="10"/>
        <v>1826.53255489</v>
      </c>
      <c r="G132" s="33">
        <f t="shared" si="11"/>
        <v>3041.7729077900003</v>
      </c>
      <c r="H132" s="33">
        <f t="shared" ref="H132:H143" si="17">+B132-C132</f>
        <v>2933.3559139999979</v>
      </c>
      <c r="I132" s="43">
        <v>1.6721464700455222</v>
      </c>
      <c r="J132" s="43">
        <v>1.3904910200478435</v>
      </c>
      <c r="K132" s="44"/>
      <c r="L132" s="44"/>
    </row>
    <row r="133" spans="1:16" ht="15.6" x14ac:dyDescent="0.25">
      <c r="A133" s="41" t="s">
        <v>32</v>
      </c>
      <c r="B133" s="42">
        <v>16765.07061757</v>
      </c>
      <c r="C133" s="58">
        <v>13905.86568132</v>
      </c>
      <c r="D133" s="58">
        <v>10857.353180279999</v>
      </c>
      <c r="E133" s="42">
        <v>8857.5871575799993</v>
      </c>
      <c r="F133" s="33">
        <f t="shared" ref="F133:F143" si="18">+D133-E133</f>
        <v>1999.7660226999997</v>
      </c>
      <c r="G133" s="33">
        <f t="shared" ref="G133:G143" si="19">+C133-D133</f>
        <v>3048.5125010400006</v>
      </c>
      <c r="H133" s="33">
        <f t="shared" si="17"/>
        <v>2859.2049362500002</v>
      </c>
      <c r="I133" s="43">
        <v>1.6571170565070443</v>
      </c>
      <c r="J133" s="43">
        <v>1.3847324051629002</v>
      </c>
      <c r="K133" s="44"/>
      <c r="L133" s="44"/>
    </row>
    <row r="134" spans="1:16" ht="15.6" x14ac:dyDescent="0.25">
      <c r="A134" s="41" t="s">
        <v>33</v>
      </c>
      <c r="B134" s="42">
        <v>17445.146761240001</v>
      </c>
      <c r="C134" s="58">
        <v>14184.51769676</v>
      </c>
      <c r="D134" s="58">
        <v>11100.924572399999</v>
      </c>
      <c r="E134" s="42">
        <v>8999.1675183099997</v>
      </c>
      <c r="F134" s="33">
        <f t="shared" si="18"/>
        <v>2101.7570540899997</v>
      </c>
      <c r="G134" s="33">
        <f t="shared" si="19"/>
        <v>3083.5931243600007</v>
      </c>
      <c r="H134" s="33">
        <f t="shared" si="17"/>
        <v>3260.629064480001</v>
      </c>
      <c r="I134" s="43">
        <v>1.6967448825795475</v>
      </c>
      <c r="J134" s="43">
        <v>1.3911580330283637</v>
      </c>
      <c r="K134" s="44"/>
      <c r="L134" s="44"/>
    </row>
    <row r="135" spans="1:16" ht="15.6" x14ac:dyDescent="0.25">
      <c r="A135" s="41" t="s">
        <v>34</v>
      </c>
      <c r="B135" s="42">
        <v>17480.375318070004</v>
      </c>
      <c r="C135" s="58">
        <v>14369.789669550002</v>
      </c>
      <c r="D135" s="58">
        <v>11226.771211430001</v>
      </c>
      <c r="E135" s="42">
        <v>8983.8684096800007</v>
      </c>
      <c r="F135" s="33">
        <f t="shared" si="18"/>
        <v>2242.9028017500004</v>
      </c>
      <c r="G135" s="33">
        <f t="shared" si="19"/>
        <v>3143.018458120001</v>
      </c>
      <c r="H135" s="33">
        <f t="shared" si="17"/>
        <v>3110.585648520002</v>
      </c>
      <c r="I135" s="43">
        <v>1.7152550949082357</v>
      </c>
      <c r="J135" s="43">
        <v>1.4235192453333125</v>
      </c>
      <c r="K135" s="44"/>
      <c r="L135" s="44"/>
    </row>
    <row r="136" spans="1:16" ht="15.6" x14ac:dyDescent="0.25">
      <c r="A136" s="41" t="s">
        <v>35</v>
      </c>
      <c r="B136" s="42">
        <v>17633.851825450001</v>
      </c>
      <c r="C136" s="58">
        <v>14515.321340959999</v>
      </c>
      <c r="D136" s="58">
        <v>11292.06201098</v>
      </c>
      <c r="E136" s="42">
        <v>9098.2413375800006</v>
      </c>
      <c r="F136" s="33">
        <f t="shared" si="18"/>
        <v>2193.8206733999996</v>
      </c>
      <c r="G136" s="33">
        <f t="shared" si="19"/>
        <v>3223.2593299799992</v>
      </c>
      <c r="H136" s="33">
        <f t="shared" si="17"/>
        <v>3118.530484490002</v>
      </c>
      <c r="I136" s="43">
        <v>1.7285712322473208</v>
      </c>
      <c r="J136" s="43">
        <v>1.4338973268459452</v>
      </c>
      <c r="K136" s="44"/>
      <c r="L136" s="44"/>
    </row>
    <row r="137" spans="1:16" ht="15.6" x14ac:dyDescent="0.25">
      <c r="A137" s="41" t="s">
        <v>36</v>
      </c>
      <c r="B137" s="42">
        <v>17506.27939122</v>
      </c>
      <c r="C137" s="58">
        <v>14682.522197119999</v>
      </c>
      <c r="D137" s="58">
        <v>11470.314637539999</v>
      </c>
      <c r="E137" s="42">
        <v>9219.7418899999993</v>
      </c>
      <c r="F137" s="33">
        <f t="shared" si="18"/>
        <v>2250.5727475399999</v>
      </c>
      <c r="G137" s="33">
        <f t="shared" si="19"/>
        <v>3212.2075595799997</v>
      </c>
      <c r="H137" s="33">
        <f t="shared" si="17"/>
        <v>2823.7571941000006</v>
      </c>
      <c r="I137" s="43">
        <v>1.6944744665427538</v>
      </c>
      <c r="J137" s="43">
        <v>1.4301251335412597</v>
      </c>
      <c r="K137" s="44"/>
      <c r="L137" s="44"/>
    </row>
    <row r="138" spans="1:16" ht="15.6" x14ac:dyDescent="0.25">
      <c r="A138" s="41" t="s">
        <v>37</v>
      </c>
      <c r="B138" s="42">
        <v>17954.123068069999</v>
      </c>
      <c r="C138" s="58">
        <v>14916.31385235</v>
      </c>
      <c r="D138" s="58">
        <v>11630.12138758</v>
      </c>
      <c r="E138" s="42">
        <v>9455.0916630200009</v>
      </c>
      <c r="F138" s="33">
        <f t="shared" si="18"/>
        <v>2175.0297245599995</v>
      </c>
      <c r="G138" s="33">
        <f t="shared" si="19"/>
        <v>3286.1924647699998</v>
      </c>
      <c r="H138" s="33">
        <f t="shared" si="17"/>
        <v>3037.809215719999</v>
      </c>
      <c r="I138" s="43">
        <v>1.7051700634523843</v>
      </c>
      <c r="J138" s="43">
        <v>1.4304087105605003</v>
      </c>
      <c r="K138" s="44"/>
      <c r="L138" s="44"/>
    </row>
    <row r="139" spans="1:16" ht="15.6" x14ac:dyDescent="0.25">
      <c r="A139" s="41" t="s">
        <v>38</v>
      </c>
      <c r="B139" s="42">
        <v>18002.774504569999</v>
      </c>
      <c r="C139" s="58">
        <v>15163.179898129998</v>
      </c>
      <c r="D139" s="58">
        <v>11796.888803509999</v>
      </c>
      <c r="E139" s="42">
        <v>9516.862094189999</v>
      </c>
      <c r="F139" s="33">
        <f t="shared" si="18"/>
        <v>2280.02670932</v>
      </c>
      <c r="G139" s="33">
        <f t="shared" si="19"/>
        <v>3366.2910946199991</v>
      </c>
      <c r="H139" s="33">
        <f t="shared" si="17"/>
        <v>2839.5946064400014</v>
      </c>
      <c r="I139" s="43">
        <v>1.6842434995282807</v>
      </c>
      <c r="J139" s="43">
        <v>1.4281949480694616</v>
      </c>
      <c r="K139" s="44"/>
      <c r="L139" s="44"/>
    </row>
    <row r="140" spans="1:16" ht="15.6" x14ac:dyDescent="0.25">
      <c r="A140" s="41" t="s">
        <v>39</v>
      </c>
      <c r="B140" s="42">
        <v>18210.15378384</v>
      </c>
      <c r="C140" s="58">
        <v>15264.929494110002</v>
      </c>
      <c r="D140" s="58">
        <v>11817.306639800001</v>
      </c>
      <c r="E140" s="42">
        <v>9559.9543512400014</v>
      </c>
      <c r="F140" s="33">
        <f t="shared" si="18"/>
        <v>2257.3522885599996</v>
      </c>
      <c r="G140" s="33">
        <f t="shared" si="19"/>
        <v>3447.6228543100005</v>
      </c>
      <c r="H140" s="33">
        <f t="shared" si="17"/>
        <v>2945.2242897299984</v>
      </c>
      <c r="I140" s="43">
        <v>1.7022428598223125</v>
      </c>
      <c r="J140" s="43">
        <v>1.4378567166476752</v>
      </c>
      <c r="K140" s="44"/>
      <c r="L140" s="44"/>
    </row>
    <row r="141" spans="1:16" ht="15.6" x14ac:dyDescent="0.25">
      <c r="A141" s="41" t="s">
        <v>40</v>
      </c>
      <c r="B141" s="42">
        <v>18449.53917059</v>
      </c>
      <c r="C141" s="58">
        <v>15495.52054265</v>
      </c>
      <c r="D141" s="58">
        <v>11932.93009342</v>
      </c>
      <c r="E141" s="42">
        <v>9724.3504852099995</v>
      </c>
      <c r="F141" s="33">
        <f t="shared" si="18"/>
        <v>2208.5796082100005</v>
      </c>
      <c r="G141" s="33">
        <f t="shared" si="19"/>
        <v>3562.5904492299996</v>
      </c>
      <c r="H141" s="33">
        <f t="shared" si="17"/>
        <v>2954.0186279400004</v>
      </c>
      <c r="I141" s="43">
        <v>1.704568537878717</v>
      </c>
      <c r="J141" s="43">
        <v>1.443778575123204</v>
      </c>
      <c r="K141" s="44"/>
      <c r="L141" s="44"/>
    </row>
    <row r="142" spans="1:16" ht="15.6" x14ac:dyDescent="0.25">
      <c r="A142" s="41" t="s">
        <v>41</v>
      </c>
      <c r="B142" s="42">
        <v>18856.381558270001</v>
      </c>
      <c r="C142" s="58">
        <v>15673.90127194</v>
      </c>
      <c r="D142" s="58">
        <v>12078.14012874</v>
      </c>
      <c r="E142" s="42">
        <v>9849.35826094</v>
      </c>
      <c r="F142" s="33">
        <f t="shared" si="18"/>
        <v>2228.7818678000003</v>
      </c>
      <c r="G142" s="33">
        <f t="shared" si="19"/>
        <v>3595.7611431999994</v>
      </c>
      <c r="H142" s="33">
        <f t="shared" si="17"/>
        <v>3182.480286330001</v>
      </c>
      <c r="I142" s="43">
        <v>1.7299629583019163</v>
      </c>
      <c r="J142" s="43">
        <v>1.4523588556446883</v>
      </c>
      <c r="K142" s="44"/>
      <c r="L142" s="44"/>
    </row>
    <row r="143" spans="1:16" ht="15.6" x14ac:dyDescent="0.25">
      <c r="A143" s="41" t="s">
        <v>42</v>
      </c>
      <c r="B143" s="42">
        <v>19289.435054590002</v>
      </c>
      <c r="C143" s="42">
        <v>16434.781617190001</v>
      </c>
      <c r="D143" s="42">
        <v>12736.891463010001</v>
      </c>
      <c r="E143" s="42">
        <v>10458.65191457</v>
      </c>
      <c r="F143" s="33">
        <f t="shared" si="18"/>
        <v>2278.2395484400004</v>
      </c>
      <c r="G143" s="33">
        <f t="shared" si="19"/>
        <v>3697.8901541800005</v>
      </c>
      <c r="H143" s="33">
        <f t="shared" si="17"/>
        <v>2854.6534374000003</v>
      </c>
      <c r="I143" s="43">
        <f>B143/11793.1140687</f>
        <v>1.6356523766513817</v>
      </c>
      <c r="J143" s="43">
        <f>C143/11641.99818107</f>
        <v>1.4116804831590777</v>
      </c>
      <c r="K143" s="44"/>
      <c r="L143" s="44"/>
    </row>
    <row r="144" spans="1:16" ht="15.6" x14ac:dyDescent="0.25">
      <c r="A144" s="41" t="s">
        <v>49</v>
      </c>
      <c r="B144" s="46">
        <v>21566.356923940002</v>
      </c>
      <c r="C144" s="46">
        <v>17435.832346269999</v>
      </c>
      <c r="D144" s="46">
        <v>12830.41682493</v>
      </c>
      <c r="E144" s="46">
        <v>10152.446650559999</v>
      </c>
      <c r="F144" s="54">
        <v>2677.9699999999993</v>
      </c>
      <c r="G144" s="54">
        <v>4605.4100000000017</v>
      </c>
      <c r="H144" s="59">
        <v>4130.5245776700003</v>
      </c>
      <c r="I144" s="55">
        <v>1.8173476654002096</v>
      </c>
      <c r="J144" s="55">
        <v>1.5106615595438837</v>
      </c>
      <c r="K144" s="56"/>
      <c r="L144" s="56"/>
    </row>
    <row r="145" spans="1:12" ht="15.6" x14ac:dyDescent="0.25">
      <c r="A145" s="41" t="s">
        <v>31</v>
      </c>
      <c r="B145" s="42">
        <v>19044.850621850001</v>
      </c>
      <c r="C145" s="42">
        <v>15982.879134549999</v>
      </c>
      <c r="D145" s="42">
        <v>12277.29921642</v>
      </c>
      <c r="E145" s="42">
        <v>9911.72793533</v>
      </c>
      <c r="F145" s="33">
        <f t="shared" ref="F145:F156" si="20">+D145-E145</f>
        <v>2365.5712810900004</v>
      </c>
      <c r="G145" s="33">
        <f t="shared" ref="G145:G156" si="21">+C145-D145</f>
        <v>3705.579918129999</v>
      </c>
      <c r="H145" s="33">
        <f t="shared" ref="H145:H156" si="22">+B145-C145</f>
        <v>3061.9714873000012</v>
      </c>
      <c r="I145" s="43">
        <f>B145/11142.59848311</f>
        <v>1.709192936523583</v>
      </c>
      <c r="J145" s="43">
        <f>C145/11038.06426639</f>
        <v>1.4479784452076943</v>
      </c>
      <c r="K145" s="44"/>
      <c r="L145" s="44"/>
    </row>
    <row r="146" spans="1:12" ht="15.6" x14ac:dyDescent="0.25">
      <c r="A146" s="41" t="s">
        <v>32</v>
      </c>
      <c r="B146" s="42">
        <v>19273.559708530003</v>
      </c>
      <c r="C146" s="42">
        <v>16124.661814100004</v>
      </c>
      <c r="D146" s="42">
        <v>12351.349887760003</v>
      </c>
      <c r="E146" s="42">
        <v>9956.127637800002</v>
      </c>
      <c r="F146" s="33">
        <f t="shared" si="20"/>
        <v>2395.2222499600011</v>
      </c>
      <c r="G146" s="33">
        <f t="shared" si="21"/>
        <v>3773.3119263400004</v>
      </c>
      <c r="H146" s="33">
        <f t="shared" si="22"/>
        <v>3148.8978944299997</v>
      </c>
      <c r="I146" s="43">
        <f>B146/11244.6306704</f>
        <v>1.714023365770927</v>
      </c>
      <c r="J146" s="43">
        <f>C146/11136.51575325</f>
        <v>1.4479090382819508</v>
      </c>
      <c r="K146" s="44"/>
      <c r="L146" s="44"/>
    </row>
    <row r="147" spans="1:12" ht="15.6" x14ac:dyDescent="0.25">
      <c r="A147" s="41" t="s">
        <v>33</v>
      </c>
      <c r="B147" s="42">
        <v>19377.016950549998</v>
      </c>
      <c r="C147" s="42">
        <v>16132.314188839999</v>
      </c>
      <c r="D147" s="42">
        <v>12300.490689139999</v>
      </c>
      <c r="E147" s="42">
        <v>9953.6108843599995</v>
      </c>
      <c r="F147" s="33">
        <f t="shared" si="20"/>
        <v>2346.8798047799992</v>
      </c>
      <c r="G147" s="33">
        <f t="shared" si="21"/>
        <v>3831.8234997</v>
      </c>
      <c r="H147" s="33">
        <f t="shared" si="22"/>
        <v>3244.7027617099993</v>
      </c>
      <c r="I147" s="43">
        <f>B147/11205.61089896</f>
        <v>1.7292245041587506</v>
      </c>
      <c r="J147" s="43">
        <f>C147/11107.08954202</f>
        <v>1.4524339727170401</v>
      </c>
      <c r="K147" s="44"/>
      <c r="L147" s="44"/>
    </row>
    <row r="148" spans="1:12" ht="15.6" x14ac:dyDescent="0.25">
      <c r="A148" s="41" t="s">
        <v>34</v>
      </c>
      <c r="B148" s="42">
        <v>19792.55909183</v>
      </c>
      <c r="C148" s="42">
        <v>16489.676849340001</v>
      </c>
      <c r="D148" s="42">
        <v>12437.767307470001</v>
      </c>
      <c r="E148" s="42">
        <v>10050.696633380001</v>
      </c>
      <c r="F148" s="33">
        <f t="shared" si="20"/>
        <v>2387.0706740900005</v>
      </c>
      <c r="G148" s="33">
        <f t="shared" si="21"/>
        <v>4051.9095418699999</v>
      </c>
      <c r="H148" s="33">
        <f t="shared" si="22"/>
        <v>3302.882242489999</v>
      </c>
      <c r="I148" s="43">
        <f>B148/11229.34687211</f>
        <v>1.7625743791910284</v>
      </c>
      <c r="J148" s="43">
        <f>C148/11105.02279736</f>
        <v>1.4848845563162731</v>
      </c>
      <c r="K148" s="44"/>
      <c r="L148" s="44"/>
    </row>
    <row r="149" spans="1:12" ht="15.6" x14ac:dyDescent="0.25">
      <c r="A149" s="41" t="s">
        <v>35</v>
      </c>
      <c r="B149" s="42">
        <v>19968.561496670001</v>
      </c>
      <c r="C149" s="42">
        <v>16695.74778433</v>
      </c>
      <c r="D149" s="42">
        <v>12545.777494470001</v>
      </c>
      <c r="E149" s="42">
        <v>10207.237598310001</v>
      </c>
      <c r="F149" s="33">
        <f t="shared" si="20"/>
        <v>2338.5398961600004</v>
      </c>
      <c r="G149" s="33">
        <f t="shared" si="21"/>
        <v>4149.970289859999</v>
      </c>
      <c r="H149" s="33">
        <f t="shared" si="22"/>
        <v>3272.8137123400011</v>
      </c>
      <c r="I149" s="43">
        <f>B149/11366.36131737</f>
        <v>1.7568121353096682</v>
      </c>
      <c r="J149" s="43">
        <f>C149/11272.23210588</f>
        <v>1.4811394608899953</v>
      </c>
      <c r="K149" s="44"/>
      <c r="L149" s="44"/>
    </row>
    <row r="150" spans="1:12" ht="15.6" x14ac:dyDescent="0.25">
      <c r="A150" s="41" t="s">
        <v>36</v>
      </c>
      <c r="B150" s="42">
        <v>20569.24647337</v>
      </c>
      <c r="C150" s="42">
        <v>17005.082993600001</v>
      </c>
      <c r="D150" s="42">
        <v>12710.57592689</v>
      </c>
      <c r="E150" s="42">
        <v>10335.523382650001</v>
      </c>
      <c r="F150" s="33">
        <f t="shared" si="20"/>
        <v>2375.0525442399994</v>
      </c>
      <c r="G150" s="33">
        <f t="shared" si="21"/>
        <v>4294.5070667100008</v>
      </c>
      <c r="H150" s="33">
        <f t="shared" si="22"/>
        <v>3564.163479769999</v>
      </c>
      <c r="I150" s="43">
        <f>B150/11858.05569204</f>
        <v>1.7346221849149852</v>
      </c>
      <c r="J150" s="43">
        <f>C150/11485.24218352</f>
        <v>1.4806029095320548</v>
      </c>
      <c r="K150" s="44"/>
      <c r="L150" s="44"/>
    </row>
    <row r="151" spans="1:12" ht="15.6" x14ac:dyDescent="0.25">
      <c r="A151" s="41" t="s">
        <v>37</v>
      </c>
      <c r="B151" s="42">
        <v>21225.399707740002</v>
      </c>
      <c r="C151" s="42">
        <v>17435.081794850001</v>
      </c>
      <c r="D151" s="42">
        <v>13036.8409484</v>
      </c>
      <c r="E151" s="42">
        <v>10508.858571300001</v>
      </c>
      <c r="F151" s="33">
        <f t="shared" si="20"/>
        <v>2527.9823770999992</v>
      </c>
      <c r="G151" s="33">
        <f t="shared" si="21"/>
        <v>4398.2408464500004</v>
      </c>
      <c r="H151" s="33">
        <f t="shared" si="22"/>
        <v>3790.317912890001</v>
      </c>
      <c r="I151" s="43">
        <f>B151/11580.61769406</f>
        <v>1.8328383052164015</v>
      </c>
      <c r="J151" s="43">
        <f>C151/11736.47385006</f>
        <v>1.4855468531343312</v>
      </c>
      <c r="K151" s="44"/>
      <c r="L151" s="44"/>
    </row>
    <row r="152" spans="1:12" ht="15.6" x14ac:dyDescent="0.25">
      <c r="A152" s="41" t="s">
        <v>38</v>
      </c>
      <c r="B152" s="42">
        <v>21306.395630089995</v>
      </c>
      <c r="C152" s="42">
        <v>17452.391032289997</v>
      </c>
      <c r="D152" s="42">
        <v>13000.9073837</v>
      </c>
      <c r="E152" s="42">
        <v>10488.02765717</v>
      </c>
      <c r="F152" s="33">
        <f t="shared" si="20"/>
        <v>2512.87972653</v>
      </c>
      <c r="G152" s="33">
        <f t="shared" si="21"/>
        <v>4451.4836485899978</v>
      </c>
      <c r="H152" s="33">
        <f t="shared" si="22"/>
        <v>3854.004597799998</v>
      </c>
      <c r="I152" s="43">
        <f>B152/11863.35000979</f>
        <v>1.7959847439810261</v>
      </c>
      <c r="J152" s="43">
        <f>C152/11743.63784422</f>
        <v>1.486114546769657</v>
      </c>
      <c r="K152" s="44"/>
      <c r="L152" s="44"/>
    </row>
    <row r="153" spans="1:12" ht="15.6" x14ac:dyDescent="0.25">
      <c r="A153" s="41" t="s">
        <v>39</v>
      </c>
      <c r="B153" s="42">
        <v>21133.128281450001</v>
      </c>
      <c r="C153" s="42">
        <v>17367.805316220001</v>
      </c>
      <c r="D153" s="42">
        <v>12834.779973070001</v>
      </c>
      <c r="E153" s="42">
        <v>10389.98032319</v>
      </c>
      <c r="F153" s="33">
        <f t="shared" si="20"/>
        <v>2444.7996498800003</v>
      </c>
      <c r="G153" s="33">
        <f t="shared" si="21"/>
        <v>4533.0253431500005</v>
      </c>
      <c r="H153" s="33">
        <f t="shared" si="22"/>
        <v>3765.3229652299997</v>
      </c>
      <c r="I153" s="43">
        <f>B153/11646.15601325</f>
        <v>1.8146011660333707</v>
      </c>
      <c r="J153" s="43">
        <f>C153/11546.46619261</f>
        <v>1.5041662987188054</v>
      </c>
      <c r="K153" s="44"/>
      <c r="L153" s="44"/>
    </row>
    <row r="154" spans="1:12" ht="15.6" x14ac:dyDescent="0.25">
      <c r="A154" s="41" t="s">
        <v>40</v>
      </c>
      <c r="B154" s="42">
        <v>21372.113561850001</v>
      </c>
      <c r="C154" s="42">
        <v>17370.041469</v>
      </c>
      <c r="D154" s="42">
        <v>12680.79816133</v>
      </c>
      <c r="E154" s="42">
        <v>10306.39262545</v>
      </c>
      <c r="F154" s="33">
        <f t="shared" si="20"/>
        <v>2374.4055358799997</v>
      </c>
      <c r="G154" s="33">
        <f t="shared" si="21"/>
        <v>4689.2433076699999</v>
      </c>
      <c r="H154" s="33">
        <f t="shared" si="22"/>
        <v>4002.0720928500014</v>
      </c>
      <c r="I154" s="43">
        <f>B154/11587.41070091</f>
        <v>1.8444253089408122</v>
      </c>
      <c r="J154" s="43">
        <f>C154/11478.00247364</f>
        <v>1.5133331351767403</v>
      </c>
      <c r="K154" s="44"/>
      <c r="L154" s="44"/>
    </row>
    <row r="155" spans="1:12" ht="15.6" x14ac:dyDescent="0.25">
      <c r="A155" s="41" t="s">
        <v>41</v>
      </c>
      <c r="B155" s="42">
        <v>21689.759412079999</v>
      </c>
      <c r="C155" s="42">
        <v>17525.152211060002</v>
      </c>
      <c r="D155" s="42">
        <v>12775.71631613</v>
      </c>
      <c r="E155" s="42">
        <v>10318.27858138</v>
      </c>
      <c r="F155" s="33">
        <f t="shared" si="20"/>
        <v>2457.4377347499994</v>
      </c>
      <c r="G155" s="33">
        <f t="shared" si="21"/>
        <v>4749.4358949300022</v>
      </c>
      <c r="H155" s="33">
        <f t="shared" si="22"/>
        <v>4164.6072010199969</v>
      </c>
      <c r="I155" s="43">
        <f>B155/11519.6732897</f>
        <v>1.8828450136231991</v>
      </c>
      <c r="J155" s="43">
        <f>C155/11601.09950925</f>
        <v>1.5106457967269851</v>
      </c>
      <c r="K155" s="44"/>
      <c r="L155" s="44"/>
    </row>
    <row r="156" spans="1:12" ht="15.6" x14ac:dyDescent="0.25">
      <c r="A156" s="41" t="s">
        <v>42</v>
      </c>
      <c r="B156" s="42">
        <v>21566.356923940002</v>
      </c>
      <c r="C156" s="42">
        <v>17435.832346269999</v>
      </c>
      <c r="D156" s="42">
        <v>12830.41682493</v>
      </c>
      <c r="E156" s="42">
        <v>10152.446650559999</v>
      </c>
      <c r="F156" s="33">
        <f t="shared" si="20"/>
        <v>2677.9701743700007</v>
      </c>
      <c r="G156" s="33">
        <f t="shared" si="21"/>
        <v>4605.415521339999</v>
      </c>
      <c r="H156" s="33">
        <f t="shared" si="22"/>
        <v>4130.5245776700031</v>
      </c>
      <c r="I156" s="43">
        <v>1.8173476654002096</v>
      </c>
      <c r="J156" s="43">
        <v>1.5106615595438837</v>
      </c>
      <c r="K156" s="44"/>
      <c r="L156" s="44"/>
    </row>
    <row r="157" spans="1:12" ht="15.6" x14ac:dyDescent="0.25">
      <c r="A157" s="41" t="s">
        <v>50</v>
      </c>
      <c r="B157" s="46">
        <v>21286.906692420001</v>
      </c>
      <c r="C157" s="46">
        <v>8678.2990421600007</v>
      </c>
      <c r="D157" s="46">
        <v>6897.1760663599998</v>
      </c>
      <c r="E157" s="47">
        <v>4775.9298388499992</v>
      </c>
      <c r="F157" s="54">
        <v>2121.2462275099997</v>
      </c>
      <c r="G157" s="54">
        <v>1781.1229757999999</v>
      </c>
      <c r="H157" s="59">
        <v>12608.607650260003</v>
      </c>
      <c r="I157" s="59">
        <v>2.8196678929672037</v>
      </c>
      <c r="J157" s="59">
        <v>1.2479435709648579</v>
      </c>
      <c r="K157" s="60"/>
      <c r="L157" s="60"/>
    </row>
    <row r="158" spans="1:12" ht="15.6" x14ac:dyDescent="0.25">
      <c r="A158" s="41" t="s">
        <v>31</v>
      </c>
      <c r="B158" s="42">
        <v>20568.496779610003</v>
      </c>
      <c r="C158" s="42">
        <v>16236.448099690002</v>
      </c>
      <c r="D158" s="42">
        <v>11753.456382330001</v>
      </c>
      <c r="E158" s="42">
        <v>9347.9318318300011</v>
      </c>
      <c r="F158" s="33">
        <f t="shared" ref="F158:F169" si="23">+D158-E158</f>
        <v>2405.5245505000003</v>
      </c>
      <c r="G158" s="33">
        <f t="shared" ref="G158:G169" si="24">+C158-D158</f>
        <v>4482.9917173600006</v>
      </c>
      <c r="H158" s="33">
        <f t="shared" ref="H158:H169" si="25">+B158-C158</f>
        <v>4332.0486799200007</v>
      </c>
      <c r="I158" s="61">
        <f>B158/10760.3</f>
        <v>1.9115170375928183</v>
      </c>
      <c r="J158" s="61">
        <f>C158/10551</f>
        <v>1.5388539569415223</v>
      </c>
      <c r="K158" s="62"/>
      <c r="L158" s="62"/>
    </row>
    <row r="159" spans="1:12" ht="15.6" x14ac:dyDescent="0.25">
      <c r="A159" s="41" t="s">
        <v>32</v>
      </c>
      <c r="B159" s="42">
        <v>20106.168512470002</v>
      </c>
      <c r="C159" s="42">
        <v>13607.043731040001</v>
      </c>
      <c r="D159" s="42">
        <v>10108.17085468</v>
      </c>
      <c r="E159" s="42">
        <v>7957.7273295299992</v>
      </c>
      <c r="F159" s="33">
        <f t="shared" si="23"/>
        <v>2150.4435251500008</v>
      </c>
      <c r="G159" s="33">
        <f t="shared" si="24"/>
        <v>3498.8728763600011</v>
      </c>
      <c r="H159" s="33">
        <f t="shared" si="25"/>
        <v>6499.1247814300004</v>
      </c>
      <c r="I159" s="61">
        <f>B159/9736.1</f>
        <v>2.065115242496482</v>
      </c>
      <c r="J159" s="61">
        <f>C159/9109.9</f>
        <v>1.4936545660259719</v>
      </c>
      <c r="K159" s="62"/>
      <c r="L159" s="62"/>
    </row>
    <row r="160" spans="1:12" ht="15.6" x14ac:dyDescent="0.25">
      <c r="A160" s="41" t="s">
        <v>33</v>
      </c>
      <c r="B160" s="42">
        <v>19507.388854750003</v>
      </c>
      <c r="C160" s="42">
        <v>12493.102293259999</v>
      </c>
      <c r="D160" s="42">
        <v>9292.7423492199996</v>
      </c>
      <c r="E160" s="42">
        <v>7396.5971371999995</v>
      </c>
      <c r="F160" s="33">
        <f t="shared" si="23"/>
        <v>1896.1452120200001</v>
      </c>
      <c r="G160" s="33">
        <f t="shared" si="24"/>
        <v>3200.3599440399994</v>
      </c>
      <c r="H160" s="33">
        <f t="shared" si="25"/>
        <v>7014.2865614900038</v>
      </c>
      <c r="I160" s="61">
        <f>B160/8919.2</f>
        <v>2.1871231561967441</v>
      </c>
      <c r="J160" s="61">
        <f>C160/8339.4</f>
        <v>1.4980816717341774</v>
      </c>
      <c r="K160" s="62"/>
      <c r="L160" s="62"/>
    </row>
    <row r="161" spans="1:12" ht="15.6" x14ac:dyDescent="0.25">
      <c r="A161" s="41" t="s">
        <v>34</v>
      </c>
      <c r="B161" s="42">
        <v>18982.881093129996</v>
      </c>
      <c r="C161" s="42">
        <v>11004.003724679998</v>
      </c>
      <c r="D161" s="42">
        <v>8267.5681553599989</v>
      </c>
      <c r="E161" s="42">
        <v>6420.892682409999</v>
      </c>
      <c r="F161" s="33">
        <f t="shared" si="23"/>
        <v>1846.6754729499999</v>
      </c>
      <c r="G161" s="33">
        <f t="shared" si="24"/>
        <v>2736.4355693199996</v>
      </c>
      <c r="H161" s="33">
        <f t="shared" si="25"/>
        <v>7978.8773684499974</v>
      </c>
      <c r="I161" s="61">
        <v>2.4119946125892611</v>
      </c>
      <c r="J161" s="61">
        <v>1.4832987356104925</v>
      </c>
      <c r="K161" s="62"/>
      <c r="L161" s="62"/>
    </row>
    <row r="162" spans="1:12" ht="15.6" x14ac:dyDescent="0.25">
      <c r="A162" s="41" t="s">
        <v>35</v>
      </c>
      <c r="B162" s="42">
        <v>18966.810181410001</v>
      </c>
      <c r="C162" s="42">
        <v>11051.433248939999</v>
      </c>
      <c r="D162" s="42">
        <v>8363.1685384399989</v>
      </c>
      <c r="E162" s="42">
        <v>6492.6838619899991</v>
      </c>
      <c r="F162" s="33">
        <f t="shared" si="23"/>
        <v>1870.4846764499998</v>
      </c>
      <c r="G162" s="33">
        <f t="shared" si="24"/>
        <v>2688.2647104999996</v>
      </c>
      <c r="H162" s="33">
        <f t="shared" si="25"/>
        <v>7915.3769324700024</v>
      </c>
      <c r="I162" s="61">
        <v>2.3756917218833373</v>
      </c>
      <c r="J162" s="61">
        <v>1.4546527055664513</v>
      </c>
      <c r="K162" s="62"/>
      <c r="L162" s="62"/>
    </row>
    <row r="163" spans="1:12" ht="15.6" x14ac:dyDescent="0.25">
      <c r="A163" s="41" t="s">
        <v>36</v>
      </c>
      <c r="B163" s="42">
        <v>18849.36270107</v>
      </c>
      <c r="C163" s="42">
        <v>10991.807172729999</v>
      </c>
      <c r="D163" s="42">
        <v>8300.96849974</v>
      </c>
      <c r="E163" s="42">
        <v>6355.5817395400009</v>
      </c>
      <c r="F163" s="33">
        <f t="shared" si="23"/>
        <v>1945.3867601999991</v>
      </c>
      <c r="G163" s="33">
        <f t="shared" si="24"/>
        <v>2690.8386729899994</v>
      </c>
      <c r="H163" s="33">
        <f t="shared" si="25"/>
        <v>7857.5555283400008</v>
      </c>
      <c r="I163" s="61">
        <f>B163/7805.95695412</f>
        <v>2.4147407949926332</v>
      </c>
      <c r="J163" s="61">
        <f>C163/7487.04742452</f>
        <v>1.4681097299760582</v>
      </c>
      <c r="K163" s="62"/>
      <c r="L163" s="62"/>
    </row>
    <row r="164" spans="1:12" ht="15.6" x14ac:dyDescent="0.25">
      <c r="A164" s="41" t="s">
        <v>37</v>
      </c>
      <c r="B164" s="42">
        <v>18855.395081499999</v>
      </c>
      <c r="C164" s="42">
        <v>10853.4799398</v>
      </c>
      <c r="D164" s="42">
        <v>8213.610996129999</v>
      </c>
      <c r="E164" s="42">
        <v>6374.5305801599998</v>
      </c>
      <c r="F164" s="33">
        <f t="shared" si="23"/>
        <v>1839.0804159699992</v>
      </c>
      <c r="G164" s="33">
        <f t="shared" si="24"/>
        <v>2639.8689436700006</v>
      </c>
      <c r="H164" s="33">
        <f t="shared" si="25"/>
        <v>8001.9151416999994</v>
      </c>
      <c r="I164" s="61">
        <v>2.4193974489098391</v>
      </c>
      <c r="J164" s="61">
        <v>1.4534360945013147</v>
      </c>
      <c r="K164" s="62"/>
      <c r="L164" s="62"/>
    </row>
    <row r="165" spans="1:12" ht="15.6" x14ac:dyDescent="0.25">
      <c r="A165" s="41" t="s">
        <v>38</v>
      </c>
      <c r="B165" s="42">
        <v>17734.26952061</v>
      </c>
      <c r="C165" s="42">
        <v>9545.6573157900002</v>
      </c>
      <c r="D165" s="42">
        <v>7089.4702486599999</v>
      </c>
      <c r="E165" s="42">
        <v>5502.7975276999996</v>
      </c>
      <c r="F165" s="33">
        <f t="shared" si="23"/>
        <v>1586.6727209600003</v>
      </c>
      <c r="G165" s="33">
        <f t="shared" si="24"/>
        <v>2456.1870671300003</v>
      </c>
      <c r="H165" s="33">
        <f t="shared" si="25"/>
        <v>8188.6122048199995</v>
      </c>
      <c r="I165" s="61">
        <v>2.5753044431594585</v>
      </c>
      <c r="J165" s="61">
        <v>1.5027635663937096</v>
      </c>
      <c r="K165" s="62"/>
      <c r="L165" s="62"/>
    </row>
    <row r="166" spans="1:12" ht="15.6" x14ac:dyDescent="0.25">
      <c r="A166" s="41" t="s">
        <v>39</v>
      </c>
      <c r="B166" s="42">
        <v>17684.024126320001</v>
      </c>
      <c r="C166" s="42">
        <v>9368.9163284799997</v>
      </c>
      <c r="D166" s="42">
        <v>7189.0388596799994</v>
      </c>
      <c r="E166" s="42">
        <v>5456.9277923699992</v>
      </c>
      <c r="F166" s="33">
        <f t="shared" si="23"/>
        <v>1732.1110673100002</v>
      </c>
      <c r="G166" s="33">
        <f t="shared" si="24"/>
        <v>2179.8774688000003</v>
      </c>
      <c r="H166" s="33">
        <f t="shared" si="25"/>
        <v>8315.1077978400008</v>
      </c>
      <c r="I166" s="61">
        <v>2.3787092797675209</v>
      </c>
      <c r="J166" s="61">
        <v>1.3288404247504946</v>
      </c>
      <c r="K166" s="62"/>
      <c r="L166" s="62"/>
    </row>
    <row r="167" spans="1:12" ht="15.6" x14ac:dyDescent="0.25">
      <c r="A167" s="41" t="s">
        <v>40</v>
      </c>
      <c r="B167" s="42">
        <v>17369.486130060002</v>
      </c>
      <c r="C167" s="42">
        <v>9363.6434162200003</v>
      </c>
      <c r="D167" s="42">
        <v>7214.6952885000001</v>
      </c>
      <c r="E167" s="42">
        <v>5429.3218914600002</v>
      </c>
      <c r="F167" s="33">
        <f t="shared" si="23"/>
        <v>1785.3733970399999</v>
      </c>
      <c r="G167" s="33">
        <f t="shared" si="24"/>
        <v>2148.9481277200002</v>
      </c>
      <c r="H167" s="33">
        <f t="shared" si="25"/>
        <v>8005.842713840002</v>
      </c>
      <c r="I167" s="61">
        <v>2.3614700728936815</v>
      </c>
      <c r="J167" s="61">
        <v>1.3270714194309137</v>
      </c>
      <c r="K167" s="62"/>
      <c r="L167" s="62"/>
    </row>
    <row r="168" spans="1:12" ht="15.6" x14ac:dyDescent="0.25">
      <c r="A168" s="41" t="s">
        <v>41</v>
      </c>
      <c r="B168" s="42">
        <v>17444.479127290004</v>
      </c>
      <c r="C168" s="42">
        <v>9050.0356780599996</v>
      </c>
      <c r="D168" s="42">
        <v>6980.3385701999996</v>
      </c>
      <c r="E168" s="42">
        <v>5176.8949734799999</v>
      </c>
      <c r="F168" s="33">
        <f t="shared" si="23"/>
        <v>1803.4435967199997</v>
      </c>
      <c r="G168" s="33">
        <f t="shared" si="24"/>
        <v>2069.69710786</v>
      </c>
      <c r="H168" s="33">
        <f t="shared" si="25"/>
        <v>8394.4434492300043</v>
      </c>
      <c r="I168" s="61">
        <v>2.4912826591881054</v>
      </c>
      <c r="J168" s="61">
        <v>1.3446145268688459</v>
      </c>
      <c r="K168" s="62"/>
      <c r="L168" s="62"/>
    </row>
    <row r="169" spans="1:12" ht="15.6" x14ac:dyDescent="0.25">
      <c r="A169" s="41" t="s">
        <v>42</v>
      </c>
      <c r="B169" s="42">
        <v>21286.906692420001</v>
      </c>
      <c r="C169" s="42">
        <v>8678.2990421600007</v>
      </c>
      <c r="D169" s="42">
        <v>6897.1760663599998</v>
      </c>
      <c r="E169" s="42">
        <v>4775.9298388499992</v>
      </c>
      <c r="F169" s="33">
        <f t="shared" si="23"/>
        <v>2121.2462275100006</v>
      </c>
      <c r="G169" s="33">
        <f t="shared" si="24"/>
        <v>1781.1229758000009</v>
      </c>
      <c r="H169" s="33">
        <f t="shared" si="25"/>
        <v>12608.607650260001</v>
      </c>
      <c r="I169" s="61">
        <v>2.8196678929672037</v>
      </c>
      <c r="J169" s="61">
        <v>1.2479435709648579</v>
      </c>
      <c r="K169" s="62"/>
      <c r="L169" s="62"/>
    </row>
    <row r="170" spans="1:12" ht="15.6" x14ac:dyDescent="0.25">
      <c r="A170" s="41" t="s">
        <v>51</v>
      </c>
      <c r="B170" s="46">
        <v>20889.60021746</v>
      </c>
      <c r="C170" s="46">
        <v>11546.345588359998</v>
      </c>
      <c r="D170" s="46">
        <v>8960.3194293800007</v>
      </c>
      <c r="E170" s="46">
        <v>6376.8612587300004</v>
      </c>
      <c r="F170" s="54">
        <v>2583.4581706500003</v>
      </c>
      <c r="G170" s="54">
        <v>2586.0261589799975</v>
      </c>
      <c r="H170" s="59">
        <v>9343.2546291000017</v>
      </c>
      <c r="I170" s="63">
        <v>2.262545171702131</v>
      </c>
      <c r="J170" s="63">
        <v>1.4689103140166848</v>
      </c>
      <c r="K170" s="64"/>
      <c r="L170" s="64"/>
    </row>
    <row r="171" spans="1:12" ht="15.6" x14ac:dyDescent="0.25">
      <c r="A171" s="41" t="s">
        <v>31</v>
      </c>
      <c r="B171" s="42">
        <v>19930.189747889999</v>
      </c>
      <c r="C171" s="42">
        <v>8001.7370589800003</v>
      </c>
      <c r="D171" s="42">
        <v>6273.7305376800005</v>
      </c>
      <c r="E171" s="42">
        <v>4485.0199975200003</v>
      </c>
      <c r="F171" s="33">
        <f t="shared" ref="F171:F182" si="26">+D171-E171</f>
        <v>1788.7105401600002</v>
      </c>
      <c r="G171" s="33">
        <f t="shared" ref="G171:G182" si="27">+C171-D171</f>
        <v>1728.0065212999998</v>
      </c>
      <c r="H171" s="33">
        <f t="shared" ref="H171:H182" si="28">+B171-C171</f>
        <v>11928.452688909998</v>
      </c>
      <c r="I171" s="61">
        <v>2.9878829273078433</v>
      </c>
      <c r="J171" s="61">
        <v>1.3714792706997698</v>
      </c>
      <c r="K171" s="62"/>
      <c r="L171" s="62"/>
    </row>
    <row r="172" spans="1:12" ht="15.6" x14ac:dyDescent="0.25">
      <c r="A172" s="41" t="s">
        <v>32</v>
      </c>
      <c r="B172" s="42">
        <v>19598.843331969998</v>
      </c>
      <c r="C172" s="42">
        <v>8686.374386129999</v>
      </c>
      <c r="D172" s="42">
        <v>6793.208220819999</v>
      </c>
      <c r="E172" s="42">
        <v>4960.2093008299989</v>
      </c>
      <c r="F172" s="33">
        <f t="shared" si="26"/>
        <v>1832.9989199900001</v>
      </c>
      <c r="G172" s="33">
        <f t="shared" si="27"/>
        <v>1893.16616531</v>
      </c>
      <c r="H172" s="33">
        <f t="shared" si="28"/>
        <v>10912.468945839999</v>
      </c>
      <c r="I172" s="61">
        <v>2.6780210558047215</v>
      </c>
      <c r="J172" s="61">
        <v>1.3596791234265759</v>
      </c>
      <c r="K172" s="62"/>
      <c r="L172" s="62"/>
    </row>
    <row r="173" spans="1:12" ht="15.6" x14ac:dyDescent="0.25">
      <c r="A173" s="41" t="s">
        <v>33</v>
      </c>
      <c r="B173" s="42">
        <v>20635.115918739997</v>
      </c>
      <c r="C173" s="42">
        <v>8943.0222277999983</v>
      </c>
      <c r="D173" s="42">
        <v>7054.626238339999</v>
      </c>
      <c r="E173" s="42">
        <v>5034.9219722600001</v>
      </c>
      <c r="F173" s="33">
        <f t="shared" si="26"/>
        <v>2019.7042660799989</v>
      </c>
      <c r="G173" s="33">
        <f t="shared" si="27"/>
        <v>1888.3959894599993</v>
      </c>
      <c r="H173" s="33">
        <f t="shared" si="28"/>
        <v>11692.093690939999</v>
      </c>
      <c r="I173" s="61">
        <v>2.7878086780290015</v>
      </c>
      <c r="J173" s="61">
        <v>1.3683115610931937</v>
      </c>
      <c r="K173" s="62"/>
      <c r="L173" s="62"/>
    </row>
    <row r="174" spans="1:12" ht="15.6" x14ac:dyDescent="0.25">
      <c r="A174" s="41" t="s">
        <v>34</v>
      </c>
      <c r="B174" s="42">
        <v>20565.732357829998</v>
      </c>
      <c r="C174" s="42">
        <v>9205.7599008200013</v>
      </c>
      <c r="D174" s="42">
        <v>7413.6629222600004</v>
      </c>
      <c r="E174" s="42">
        <v>5303.4540515999997</v>
      </c>
      <c r="F174" s="33">
        <f t="shared" si="26"/>
        <v>2110.2088706600007</v>
      </c>
      <c r="G174" s="33">
        <f t="shared" si="27"/>
        <v>1792.0969785600009</v>
      </c>
      <c r="H174" s="33">
        <f t="shared" si="28"/>
        <v>11359.972457009997</v>
      </c>
      <c r="I174" s="61">
        <v>2.7521133958944479</v>
      </c>
      <c r="J174" s="61">
        <v>1.3686679392563545</v>
      </c>
      <c r="K174" s="62"/>
      <c r="L174" s="62"/>
    </row>
    <row r="175" spans="1:12" ht="15.6" x14ac:dyDescent="0.25">
      <c r="A175" s="41" t="s">
        <v>35</v>
      </c>
      <c r="B175" s="42">
        <v>20629.738338640003</v>
      </c>
      <c r="C175" s="42">
        <v>9600.7096369200008</v>
      </c>
      <c r="D175" s="42">
        <v>7747.2930034299998</v>
      </c>
      <c r="E175" s="42">
        <v>5578.3520348499997</v>
      </c>
      <c r="F175" s="33">
        <f t="shared" si="26"/>
        <v>2168.9409685800001</v>
      </c>
      <c r="G175" s="33">
        <f t="shared" si="27"/>
        <v>1853.416633490001</v>
      </c>
      <c r="H175" s="33">
        <f t="shared" si="28"/>
        <v>11029.028701720003</v>
      </c>
      <c r="I175" s="61">
        <v>2.47252751042195</v>
      </c>
      <c r="J175" s="61">
        <v>1.2563698599189137</v>
      </c>
      <c r="K175" s="62"/>
      <c r="L175" s="62"/>
    </row>
    <row r="176" spans="1:12" ht="15.6" x14ac:dyDescent="0.25">
      <c r="A176" s="41" t="s">
        <v>36</v>
      </c>
      <c r="B176" s="42">
        <v>20851.484831909998</v>
      </c>
      <c r="C176" s="42">
        <v>9806.5437926799987</v>
      </c>
      <c r="D176" s="42">
        <v>8017.5761419299988</v>
      </c>
      <c r="E176" s="42">
        <v>5670.8826329499989</v>
      </c>
      <c r="F176" s="33">
        <f t="shared" si="26"/>
        <v>2346.6935089799999</v>
      </c>
      <c r="G176" s="33">
        <f t="shared" si="27"/>
        <v>1788.9676507499998</v>
      </c>
      <c r="H176" s="33">
        <f t="shared" si="28"/>
        <v>11044.94103923</v>
      </c>
      <c r="I176" s="61">
        <v>2.5007872009271188</v>
      </c>
      <c r="J176" s="61">
        <v>1.2753408603448557</v>
      </c>
      <c r="K176" s="62"/>
      <c r="L176" s="62"/>
    </row>
    <row r="177" spans="1:12" ht="15.6" x14ac:dyDescent="0.25">
      <c r="A177" s="41" t="s">
        <v>37</v>
      </c>
      <c r="B177" s="42">
        <v>21101.894291910001</v>
      </c>
      <c r="C177" s="42">
        <v>10096.59923992</v>
      </c>
      <c r="D177" s="42">
        <v>8401.8279695199999</v>
      </c>
      <c r="E177" s="42">
        <v>5839.5343421199996</v>
      </c>
      <c r="F177" s="33">
        <f t="shared" si="26"/>
        <v>2562.2936274000003</v>
      </c>
      <c r="G177" s="33">
        <f t="shared" si="27"/>
        <v>1694.7712704000005</v>
      </c>
      <c r="H177" s="33">
        <f t="shared" si="28"/>
        <v>11005.295051990001</v>
      </c>
      <c r="I177" s="61">
        <v>2.4470903231284145</v>
      </c>
      <c r="J177" s="61">
        <v>1.3218688157223337</v>
      </c>
      <c r="K177" s="62"/>
      <c r="L177" s="62"/>
    </row>
    <row r="178" spans="1:12" ht="15.6" x14ac:dyDescent="0.25">
      <c r="A178" s="41" t="s">
        <v>38</v>
      </c>
      <c r="B178" s="42">
        <v>21154.054504629999</v>
      </c>
      <c r="C178" s="42">
        <v>9861.4011032899998</v>
      </c>
      <c r="D178" s="42">
        <v>8159.2362568600001</v>
      </c>
      <c r="E178" s="42">
        <v>5763.4195158299999</v>
      </c>
      <c r="F178" s="33">
        <f t="shared" si="26"/>
        <v>2395.8167410300002</v>
      </c>
      <c r="G178" s="33">
        <f t="shared" si="27"/>
        <v>1702.1648464299997</v>
      </c>
      <c r="H178" s="33">
        <f t="shared" si="28"/>
        <v>11292.65340134</v>
      </c>
      <c r="I178" s="61">
        <v>2.4952033745273718</v>
      </c>
      <c r="J178" s="61">
        <v>1.3304324530075842</v>
      </c>
      <c r="K178" s="62"/>
      <c r="L178" s="62"/>
    </row>
    <row r="179" spans="1:12" ht="15.6" x14ac:dyDescent="0.25">
      <c r="A179" s="41" t="s">
        <v>39</v>
      </c>
      <c r="B179" s="42">
        <v>20134.15021711</v>
      </c>
      <c r="C179" s="42">
        <v>9966.4070786499997</v>
      </c>
      <c r="D179" s="42">
        <v>8346.1160196000001</v>
      </c>
      <c r="E179" s="42">
        <v>5682.6459268299996</v>
      </c>
      <c r="F179" s="33">
        <f t="shared" si="26"/>
        <v>2663.4700927700005</v>
      </c>
      <c r="G179" s="33">
        <f t="shared" si="27"/>
        <v>1620.2910590499996</v>
      </c>
      <c r="H179" s="33">
        <f t="shared" si="28"/>
        <v>10167.74313846</v>
      </c>
      <c r="I179" s="61">
        <v>2.5211986642150226</v>
      </c>
      <c r="J179" s="61">
        <v>1.4634288701292566</v>
      </c>
      <c r="K179" s="62"/>
      <c r="L179" s="62"/>
    </row>
    <row r="180" spans="1:12" ht="15.6" x14ac:dyDescent="0.25">
      <c r="A180" s="41" t="s">
        <v>40</v>
      </c>
      <c r="B180" s="42">
        <v>20122.583980270003</v>
      </c>
      <c r="C180" s="42">
        <v>10679.031813640002</v>
      </c>
      <c r="D180" s="42">
        <v>8157.7111382000003</v>
      </c>
      <c r="E180" s="42">
        <v>5742.2880397099998</v>
      </c>
      <c r="F180" s="33">
        <f t="shared" si="26"/>
        <v>2415.4230984900005</v>
      </c>
      <c r="G180" s="33">
        <f t="shared" si="27"/>
        <v>2521.3206754400017</v>
      </c>
      <c r="H180" s="33">
        <f t="shared" si="28"/>
        <v>9443.552166630001</v>
      </c>
      <c r="I180" s="61">
        <v>2.2885179294587275</v>
      </c>
      <c r="J180" s="61">
        <v>1.4336371573397666</v>
      </c>
      <c r="K180" s="62"/>
      <c r="L180" s="62"/>
    </row>
    <row r="181" spans="1:12" ht="15.6" x14ac:dyDescent="0.25">
      <c r="A181" s="41" t="s">
        <v>41</v>
      </c>
      <c r="B181" s="42">
        <v>20271.875552699999</v>
      </c>
      <c r="C181" s="42">
        <v>10942.423036389999</v>
      </c>
      <c r="D181" s="42">
        <v>8387.0036374700012</v>
      </c>
      <c r="E181" s="42">
        <v>5833.5362335000009</v>
      </c>
      <c r="F181" s="33">
        <f t="shared" si="26"/>
        <v>2553.4674039700003</v>
      </c>
      <c r="G181" s="33">
        <f t="shared" si="27"/>
        <v>2555.4193989199975</v>
      </c>
      <c r="H181" s="33">
        <f t="shared" si="28"/>
        <v>9329.4525163100006</v>
      </c>
      <c r="I181" s="61">
        <v>2.2385593349535338</v>
      </c>
      <c r="J181" s="61">
        <v>1.420685206397639</v>
      </c>
      <c r="K181" s="62"/>
      <c r="L181" s="62"/>
    </row>
    <row r="182" spans="1:12" ht="15.6" x14ac:dyDescent="0.25">
      <c r="A182" s="41" t="s">
        <v>42</v>
      </c>
      <c r="B182" s="42">
        <v>20889.60021746</v>
      </c>
      <c r="C182" s="42">
        <v>11546.345588359998</v>
      </c>
      <c r="D182" s="42">
        <v>8960.3194293800007</v>
      </c>
      <c r="E182" s="42">
        <v>6376.8612587300004</v>
      </c>
      <c r="F182" s="33">
        <f t="shared" si="26"/>
        <v>2583.4581706500003</v>
      </c>
      <c r="G182" s="33">
        <f t="shared" si="27"/>
        <v>2586.0261589799975</v>
      </c>
      <c r="H182" s="33">
        <f t="shared" si="28"/>
        <v>9343.2546291000017</v>
      </c>
      <c r="I182" s="43">
        <v>2.262545171702131</v>
      </c>
      <c r="J182" s="43">
        <v>1.4689103140166848</v>
      </c>
      <c r="K182" s="44"/>
      <c r="L182" s="44"/>
    </row>
    <row r="183" spans="1:12" ht="15.6" x14ac:dyDescent="0.25">
      <c r="A183" s="41" t="s">
        <v>52</v>
      </c>
      <c r="B183" s="46">
        <v>22772.070451020001</v>
      </c>
      <c r="C183" s="46">
        <v>12466.432601679999</v>
      </c>
      <c r="D183" s="46">
        <v>10544.24328447</v>
      </c>
      <c r="E183" s="46">
        <v>7490.3292875799998</v>
      </c>
      <c r="F183" s="54">
        <v>3053.9139968899999</v>
      </c>
      <c r="G183" s="54">
        <v>1922.1893172100008</v>
      </c>
      <c r="H183" s="59">
        <v>10305.637849340001</v>
      </c>
      <c r="I183" s="63">
        <v>2.3065899360824305</v>
      </c>
      <c r="J183" s="63">
        <v>1.4592220802503841</v>
      </c>
      <c r="K183" s="64"/>
      <c r="L183" s="64"/>
    </row>
    <row r="184" spans="1:12" ht="15.6" x14ac:dyDescent="0.25">
      <c r="A184" s="41" t="s">
        <v>31</v>
      </c>
      <c r="B184" s="42">
        <v>21034.853885190001</v>
      </c>
      <c r="C184" s="42">
        <v>10749.334211820002</v>
      </c>
      <c r="D184" s="42">
        <v>8185.5091272900008</v>
      </c>
      <c r="E184" s="42">
        <v>5922.8646124000006</v>
      </c>
      <c r="F184" s="33">
        <f t="shared" ref="F184:F195" si="29">+D184-E184</f>
        <v>2262.6445148900002</v>
      </c>
      <c r="G184" s="33">
        <f t="shared" ref="G184:G195" si="30">+C184-D184</f>
        <v>2563.8250845300008</v>
      </c>
      <c r="H184" s="33">
        <f t="shared" ref="H184:H195" si="31">+B184-C184</f>
        <v>10285.51967337</v>
      </c>
      <c r="I184" s="61">
        <v>2.4089769238370815</v>
      </c>
      <c r="J184" s="61">
        <v>1.4661510320916127</v>
      </c>
      <c r="K184" s="62"/>
      <c r="L184" s="62"/>
    </row>
    <row r="185" spans="1:12" ht="15.6" x14ac:dyDescent="0.25">
      <c r="A185" s="41" t="s">
        <v>32</v>
      </c>
      <c r="B185" s="42">
        <v>20151.20437938</v>
      </c>
      <c r="C185" s="42">
        <v>10764.027273760001</v>
      </c>
      <c r="D185" s="42">
        <v>8240.1815955700004</v>
      </c>
      <c r="E185" s="42">
        <v>5993.1957093400006</v>
      </c>
      <c r="F185" s="33">
        <f t="shared" si="29"/>
        <v>2246.9858862299998</v>
      </c>
      <c r="G185" s="33">
        <f t="shared" si="30"/>
        <v>2523.8456781900004</v>
      </c>
      <c r="H185" s="33">
        <f t="shared" si="31"/>
        <v>9387.1771056199996</v>
      </c>
      <c r="I185" s="61">
        <v>2.4172510694987022</v>
      </c>
      <c r="J185" s="61">
        <v>1.5405878914650819</v>
      </c>
      <c r="K185" s="62"/>
      <c r="L185" s="62"/>
    </row>
    <row r="186" spans="1:12" ht="15.6" x14ac:dyDescent="0.25">
      <c r="A186" s="41" t="s">
        <v>33</v>
      </c>
      <c r="B186" s="42">
        <v>19902.926428369996</v>
      </c>
      <c r="C186" s="42">
        <v>10981.98176076</v>
      </c>
      <c r="D186" s="42">
        <v>8410.8354666600007</v>
      </c>
      <c r="E186" s="42">
        <v>6145.2257449200006</v>
      </c>
      <c r="F186" s="33">
        <f t="shared" si="29"/>
        <v>2265.6097217400002</v>
      </c>
      <c r="G186" s="33">
        <f t="shared" si="30"/>
        <v>2571.1462940999991</v>
      </c>
      <c r="H186" s="33">
        <f t="shared" si="31"/>
        <v>8920.944667609996</v>
      </c>
      <c r="I186" s="61">
        <v>2.0824738253519901</v>
      </c>
      <c r="J186" s="61">
        <v>1.5090247374514991</v>
      </c>
      <c r="K186" s="62"/>
      <c r="L186" s="62"/>
    </row>
    <row r="187" spans="1:12" ht="15.6" x14ac:dyDescent="0.25">
      <c r="A187" s="41" t="s">
        <v>34</v>
      </c>
      <c r="B187" s="42">
        <v>21081.806728429998</v>
      </c>
      <c r="C187" s="42">
        <v>11610.051899549999</v>
      </c>
      <c r="D187" s="42">
        <v>8955.4247405699989</v>
      </c>
      <c r="E187" s="42">
        <v>6348.5955752299997</v>
      </c>
      <c r="F187" s="33">
        <f t="shared" si="29"/>
        <v>2606.8291653399992</v>
      </c>
      <c r="G187" s="33">
        <f t="shared" si="30"/>
        <v>2654.6271589799999</v>
      </c>
      <c r="H187" s="33">
        <f t="shared" si="31"/>
        <v>9471.754828879999</v>
      </c>
      <c r="I187" s="61">
        <v>2.034185510256131</v>
      </c>
      <c r="J187" s="61">
        <v>1.5220074193648607</v>
      </c>
      <c r="K187" s="62"/>
      <c r="L187" s="62"/>
    </row>
    <row r="188" spans="1:12" ht="15.6" x14ac:dyDescent="0.25">
      <c r="A188" s="41" t="s">
        <v>35</v>
      </c>
      <c r="B188" s="42">
        <v>20856.365933829999</v>
      </c>
      <c r="C188" s="42">
        <v>11568.538726760002</v>
      </c>
      <c r="D188" s="42">
        <v>8930.5077434800005</v>
      </c>
      <c r="E188" s="42">
        <v>6538.2719209699999</v>
      </c>
      <c r="F188" s="33">
        <f t="shared" si="29"/>
        <v>2392.2358225100006</v>
      </c>
      <c r="G188" s="33">
        <f t="shared" si="30"/>
        <v>2638.0309832800012</v>
      </c>
      <c r="H188" s="33">
        <f t="shared" si="31"/>
        <v>9287.8272070699968</v>
      </c>
      <c r="I188" s="61">
        <v>2.0674356756591137</v>
      </c>
      <c r="J188" s="61">
        <v>1.4853028431212567</v>
      </c>
      <c r="K188" s="62"/>
      <c r="L188" s="62"/>
    </row>
    <row r="189" spans="1:12" ht="15.6" x14ac:dyDescent="0.25">
      <c r="A189" s="41" t="s">
        <v>36</v>
      </c>
      <c r="B189" s="42">
        <v>20973.00448946</v>
      </c>
      <c r="C189" s="42">
        <v>11435.887373869999</v>
      </c>
      <c r="D189" s="42">
        <v>9263.3680122499991</v>
      </c>
      <c r="E189" s="42">
        <v>6774.4474925899995</v>
      </c>
      <c r="F189" s="33">
        <f t="shared" si="29"/>
        <v>2488.9205196599996</v>
      </c>
      <c r="G189" s="33">
        <f t="shared" si="30"/>
        <v>2172.5193616199995</v>
      </c>
      <c r="H189" s="33">
        <f t="shared" si="31"/>
        <v>9537.117115590001</v>
      </c>
      <c r="I189" s="61">
        <v>1.9925232048959938</v>
      </c>
      <c r="J189" s="61">
        <v>1.382067948352103</v>
      </c>
      <c r="K189" s="62"/>
      <c r="L189" s="62"/>
    </row>
    <row r="190" spans="1:12" ht="15.6" x14ac:dyDescent="0.25">
      <c r="A190" s="41" t="s">
        <v>37</v>
      </c>
      <c r="B190" s="42">
        <v>20824.384832039999</v>
      </c>
      <c r="C190" s="42">
        <v>11338.46891634</v>
      </c>
      <c r="D190" s="42">
        <v>9288.6927007600007</v>
      </c>
      <c r="E190" s="42">
        <v>6937.0088353600004</v>
      </c>
      <c r="F190" s="33">
        <f t="shared" si="29"/>
        <v>2351.6838654000003</v>
      </c>
      <c r="G190" s="33">
        <f t="shared" si="30"/>
        <v>2049.7762155799992</v>
      </c>
      <c r="H190" s="33">
        <f t="shared" si="31"/>
        <v>9485.9159156999995</v>
      </c>
      <c r="I190" s="61">
        <v>1.9429022912479734</v>
      </c>
      <c r="J190" s="61">
        <v>1.3606945351379982</v>
      </c>
      <c r="K190" s="62"/>
      <c r="L190" s="62"/>
    </row>
    <row r="191" spans="1:12" ht="15.6" x14ac:dyDescent="0.25">
      <c r="A191" s="41" t="s">
        <v>38</v>
      </c>
      <c r="B191" s="42">
        <v>20556.303320810002</v>
      </c>
      <c r="C191" s="42">
        <v>11137.54601199</v>
      </c>
      <c r="D191" s="42">
        <v>9402.3546518900002</v>
      </c>
      <c r="E191" s="42">
        <v>7001.1362198799998</v>
      </c>
      <c r="F191" s="33">
        <f t="shared" si="29"/>
        <v>2401.2184320100005</v>
      </c>
      <c r="G191" s="33">
        <f t="shared" si="30"/>
        <v>1735.1913600999997</v>
      </c>
      <c r="H191" s="33">
        <f t="shared" si="31"/>
        <v>9418.7573088200024</v>
      </c>
      <c r="I191" s="61">
        <v>1.9282495713049725</v>
      </c>
      <c r="J191" s="61">
        <v>1.3151827535940901</v>
      </c>
      <c r="K191" s="62"/>
      <c r="L191" s="62"/>
    </row>
    <row r="192" spans="1:12" ht="15.6" x14ac:dyDescent="0.25">
      <c r="A192" s="41" t="s">
        <v>39</v>
      </c>
      <c r="B192" s="42">
        <v>21133.719188669998</v>
      </c>
      <c r="C192" s="42">
        <v>11464.497166829999</v>
      </c>
      <c r="D192" s="42">
        <v>9800.7255201099979</v>
      </c>
      <c r="E192" s="42">
        <v>7092.301789789999</v>
      </c>
      <c r="F192" s="33">
        <f t="shared" si="29"/>
        <v>2708.4237303199989</v>
      </c>
      <c r="G192" s="33">
        <f t="shared" si="30"/>
        <v>1663.7716467200007</v>
      </c>
      <c r="H192" s="33">
        <f t="shared" si="31"/>
        <v>9669.2220218399998</v>
      </c>
      <c r="I192" s="61">
        <v>2.106573574853837</v>
      </c>
      <c r="J192" s="61">
        <v>1.3221347625558166</v>
      </c>
      <c r="K192" s="62"/>
      <c r="L192" s="62"/>
    </row>
    <row r="193" spans="1:12" ht="15.6" x14ac:dyDescent="0.25">
      <c r="A193" s="41" t="s">
        <v>40</v>
      </c>
      <c r="B193" s="42">
        <v>21449.6211415</v>
      </c>
      <c r="C193" s="42">
        <v>11546.72964532</v>
      </c>
      <c r="D193" s="42">
        <v>9718.6465609300012</v>
      </c>
      <c r="E193" s="42">
        <v>7089.7548597200011</v>
      </c>
      <c r="F193" s="33">
        <f t="shared" si="29"/>
        <v>2628.8917012100001</v>
      </c>
      <c r="G193" s="33">
        <f t="shared" si="30"/>
        <v>1828.0830843899985</v>
      </c>
      <c r="H193" s="33">
        <f t="shared" si="31"/>
        <v>9902.8914961800001</v>
      </c>
      <c r="I193" s="61">
        <v>2.1822695257357738</v>
      </c>
      <c r="J193" s="61">
        <v>1.3533998491635806</v>
      </c>
      <c r="K193" s="62"/>
      <c r="L193" s="62"/>
    </row>
    <row r="194" spans="1:12" ht="15.6" x14ac:dyDescent="0.25">
      <c r="A194" s="41" t="s">
        <v>41</v>
      </c>
      <c r="B194" s="42">
        <v>21517.920473049999</v>
      </c>
      <c r="C194" s="42">
        <v>12044.713739800001</v>
      </c>
      <c r="D194" s="42">
        <v>10104.986625630001</v>
      </c>
      <c r="E194" s="42">
        <v>7149.3576378600001</v>
      </c>
      <c r="F194" s="33">
        <f t="shared" si="29"/>
        <v>2955.628987770001</v>
      </c>
      <c r="G194" s="33">
        <f t="shared" si="30"/>
        <v>1939.7271141700003</v>
      </c>
      <c r="H194" s="33">
        <f t="shared" si="31"/>
        <v>9473.2067332499973</v>
      </c>
      <c r="I194" s="61">
        <v>2.1513750775375038</v>
      </c>
      <c r="J194" s="61">
        <v>1.3865469921193967</v>
      </c>
      <c r="K194" s="62"/>
      <c r="L194" s="62"/>
    </row>
    <row r="195" spans="1:12" ht="15.6" x14ac:dyDescent="0.25">
      <c r="A195" s="41" t="s">
        <v>42</v>
      </c>
      <c r="B195" s="42">
        <v>22772.070451020001</v>
      </c>
      <c r="C195" s="42">
        <v>12466.432601679999</v>
      </c>
      <c r="D195" s="42">
        <v>10544.24328447</v>
      </c>
      <c r="E195" s="42">
        <v>7490.3292875799998</v>
      </c>
      <c r="F195" s="33">
        <f t="shared" si="29"/>
        <v>3053.9139968899999</v>
      </c>
      <c r="G195" s="33">
        <f t="shared" si="30"/>
        <v>1922.189317209999</v>
      </c>
      <c r="H195" s="33">
        <f t="shared" si="31"/>
        <v>10305.637849340003</v>
      </c>
      <c r="I195" s="61">
        <v>2.3065899360824305</v>
      </c>
      <c r="J195" s="61">
        <v>1.4592220802503841</v>
      </c>
      <c r="K195" s="62"/>
      <c r="L195" s="62"/>
    </row>
    <row r="196" spans="1:12" ht="15.6" x14ac:dyDescent="0.25">
      <c r="A196" s="41" t="s">
        <v>53</v>
      </c>
      <c r="B196" s="46">
        <v>24060.393174919998</v>
      </c>
      <c r="C196" s="46">
        <v>14643.622398929998</v>
      </c>
      <c r="D196" s="46">
        <v>12274.634531</v>
      </c>
      <c r="E196" s="46">
        <v>7601.3712782100001</v>
      </c>
      <c r="F196" s="54">
        <v>4673.2632527899996</v>
      </c>
      <c r="G196" s="54">
        <v>2368.98786793</v>
      </c>
      <c r="H196" s="59">
        <v>9416.7707759899986</v>
      </c>
      <c r="I196" s="63">
        <v>2.3317880221202123</v>
      </c>
      <c r="J196" s="63">
        <v>1.5340501015947468</v>
      </c>
      <c r="K196" s="64"/>
      <c r="L196" s="64"/>
    </row>
    <row r="197" spans="1:12" ht="15.6" x14ac:dyDescent="0.25">
      <c r="A197" s="41" t="s">
        <v>31</v>
      </c>
      <c r="B197" s="42">
        <v>22755.398773780002</v>
      </c>
      <c r="C197" s="42">
        <v>12272.674945000001</v>
      </c>
      <c r="D197" s="42">
        <v>10192.185682630001</v>
      </c>
      <c r="E197" s="42">
        <v>7381.4869843100005</v>
      </c>
      <c r="F197" s="33">
        <f t="shared" ref="F197:F208" si="32">+D197-E197</f>
        <v>2810.6986983200004</v>
      </c>
      <c r="G197" s="33">
        <f t="shared" ref="G197:G208" si="33">+C197-D197</f>
        <v>2080.4892623699998</v>
      </c>
      <c r="H197" s="33">
        <f t="shared" ref="H197:H208" si="34">+B197-C197</f>
        <v>10482.723828780001</v>
      </c>
      <c r="I197" s="43">
        <v>2.3150370821495443</v>
      </c>
      <c r="J197" s="43">
        <v>1.4007406890111056</v>
      </c>
      <c r="K197" s="44"/>
      <c r="L197" s="44"/>
    </row>
    <row r="198" spans="1:12" ht="15.6" x14ac:dyDescent="0.25">
      <c r="A198" s="41" t="s">
        <v>32</v>
      </c>
      <c r="B198" s="42">
        <v>22868.076868089996</v>
      </c>
      <c r="C198" s="42">
        <v>12744.878943899997</v>
      </c>
      <c r="D198" s="42">
        <v>10434.352877309999</v>
      </c>
      <c r="E198" s="42">
        <v>7311.6928763799997</v>
      </c>
      <c r="F198" s="33">
        <f t="shared" si="32"/>
        <v>3122.6600009299991</v>
      </c>
      <c r="G198" s="33">
        <f t="shared" si="33"/>
        <v>2310.5260665899987</v>
      </c>
      <c r="H198" s="33">
        <f t="shared" si="34"/>
        <v>10123.197924189999</v>
      </c>
      <c r="I198" s="43">
        <v>2.2313578249150234</v>
      </c>
      <c r="J198" s="43">
        <v>1.3882469556047923</v>
      </c>
      <c r="K198" s="44"/>
      <c r="L198" s="44"/>
    </row>
    <row r="199" spans="1:12" ht="15.6" x14ac:dyDescent="0.25">
      <c r="A199" s="41" t="s">
        <v>33</v>
      </c>
      <c r="B199" s="42">
        <v>22459.499555119997</v>
      </c>
      <c r="C199" s="42">
        <v>13005.875008679997</v>
      </c>
      <c r="D199" s="42">
        <v>10691.735644159999</v>
      </c>
      <c r="E199" s="42">
        <v>7404.1666002099992</v>
      </c>
      <c r="F199" s="33">
        <f t="shared" si="32"/>
        <v>3287.5690439499995</v>
      </c>
      <c r="G199" s="33">
        <f t="shared" si="33"/>
        <v>2314.1393645199987</v>
      </c>
      <c r="H199" s="33">
        <f t="shared" si="34"/>
        <v>9453.6245464399999</v>
      </c>
      <c r="I199" s="43">
        <v>2.0828661476866839</v>
      </c>
      <c r="J199" s="43">
        <v>1.3732244123154893</v>
      </c>
      <c r="K199" s="44"/>
      <c r="L199" s="44"/>
    </row>
    <row r="200" spans="1:12" ht="15.6" x14ac:dyDescent="0.25">
      <c r="A200" s="41" t="s">
        <v>34</v>
      </c>
      <c r="B200" s="42">
        <v>22119.981322159998</v>
      </c>
      <c r="C200" s="42">
        <v>12425.141375929999</v>
      </c>
      <c r="D200" s="42">
        <v>10201.029013769999</v>
      </c>
      <c r="E200" s="42">
        <v>6919.2920401500005</v>
      </c>
      <c r="F200" s="33">
        <f t="shared" si="32"/>
        <v>3281.7369736199989</v>
      </c>
      <c r="G200" s="33">
        <f t="shared" si="33"/>
        <v>2224.11236216</v>
      </c>
      <c r="H200" s="33">
        <f t="shared" si="34"/>
        <v>9694.8399462299985</v>
      </c>
      <c r="I200" s="43">
        <v>2.2841092447779472</v>
      </c>
      <c r="J200" s="43">
        <v>1.4769025049507249</v>
      </c>
      <c r="K200" s="44"/>
      <c r="L200" s="44"/>
    </row>
    <row r="201" spans="1:12" ht="15.6" x14ac:dyDescent="0.25">
      <c r="A201" s="41" t="s">
        <v>35</v>
      </c>
      <c r="B201" s="42">
        <v>22145.141300539995</v>
      </c>
      <c r="C201" s="42">
        <v>12599.049581419999</v>
      </c>
      <c r="D201" s="42">
        <v>10273.594519849999</v>
      </c>
      <c r="E201" s="42">
        <v>7053.4999614500002</v>
      </c>
      <c r="F201" s="33">
        <f t="shared" si="32"/>
        <v>3220.0945583999992</v>
      </c>
      <c r="G201" s="33">
        <f t="shared" si="33"/>
        <v>2325.4550615699991</v>
      </c>
      <c r="H201" s="33">
        <f t="shared" si="34"/>
        <v>9546.0917191199969</v>
      </c>
      <c r="I201" s="43">
        <v>2.2756056923075918</v>
      </c>
      <c r="J201" s="43">
        <v>1.4991005186655266</v>
      </c>
      <c r="K201" s="44"/>
      <c r="L201" s="44"/>
    </row>
    <row r="202" spans="1:12" ht="15.6" x14ac:dyDescent="0.25">
      <c r="A202" s="41" t="s">
        <v>36</v>
      </c>
      <c r="B202" s="42">
        <v>22683.611646019999</v>
      </c>
      <c r="C202" s="42">
        <v>12984.69515177</v>
      </c>
      <c r="D202" s="42">
        <v>10656.116442300001</v>
      </c>
      <c r="E202" s="42">
        <v>7173.8074000100005</v>
      </c>
      <c r="F202" s="33">
        <f t="shared" si="32"/>
        <v>3482.3090422900004</v>
      </c>
      <c r="G202" s="33">
        <f t="shared" si="33"/>
        <v>2328.578709469999</v>
      </c>
      <c r="H202" s="33">
        <f t="shared" si="34"/>
        <v>9698.9164942499992</v>
      </c>
      <c r="I202" s="43">
        <v>2.34469256690587</v>
      </c>
      <c r="J202" s="43">
        <v>1.5119518138610506</v>
      </c>
      <c r="K202" s="44"/>
      <c r="L202" s="44"/>
    </row>
    <row r="203" spans="1:12" ht="15.6" x14ac:dyDescent="0.25">
      <c r="A203" s="41" t="s">
        <v>37</v>
      </c>
      <c r="B203" s="42">
        <v>22727.974726500001</v>
      </c>
      <c r="C203" s="42">
        <v>13347.24488812</v>
      </c>
      <c r="D203" s="42">
        <v>11036.893226119999</v>
      </c>
      <c r="E203" s="42">
        <v>7381.3978546199996</v>
      </c>
      <c r="F203" s="33">
        <f t="shared" si="32"/>
        <v>3655.4953714999992</v>
      </c>
      <c r="G203" s="33">
        <f t="shared" si="33"/>
        <v>2310.3516620000009</v>
      </c>
      <c r="H203" s="33">
        <f t="shared" si="34"/>
        <v>9380.7298383800007</v>
      </c>
      <c r="I203" s="43">
        <v>2.2549707379965773</v>
      </c>
      <c r="J203" s="43">
        <v>1.5015704475293923</v>
      </c>
      <c r="K203" s="44"/>
      <c r="L203" s="44"/>
    </row>
    <row r="204" spans="1:12" ht="15.6" x14ac:dyDescent="0.25">
      <c r="A204" s="41" t="s">
        <v>38</v>
      </c>
      <c r="B204" s="42">
        <v>22431.606406850002</v>
      </c>
      <c r="C204" s="42">
        <v>12875.444561079999</v>
      </c>
      <c r="D204" s="42">
        <v>10601.76435963</v>
      </c>
      <c r="E204" s="42">
        <v>6905.6102707400005</v>
      </c>
      <c r="F204" s="33">
        <f t="shared" si="32"/>
        <v>3696.1540888899999</v>
      </c>
      <c r="G204" s="33">
        <f t="shared" si="33"/>
        <v>2273.680201449999</v>
      </c>
      <c r="H204" s="33">
        <f t="shared" si="34"/>
        <v>9556.1618457700024</v>
      </c>
      <c r="I204" s="43">
        <v>2.4044091540138477</v>
      </c>
      <c r="J204" s="43">
        <v>1.5478603104340489</v>
      </c>
      <c r="K204" s="44"/>
      <c r="L204" s="44"/>
    </row>
    <row r="205" spans="1:12" ht="15.6" x14ac:dyDescent="0.25">
      <c r="A205" s="41" t="s">
        <v>39</v>
      </c>
      <c r="B205" s="42">
        <v>23146.36330343</v>
      </c>
      <c r="C205" s="42">
        <v>13498.862857830001</v>
      </c>
      <c r="D205" s="42">
        <v>11108.12272182</v>
      </c>
      <c r="E205" s="42">
        <v>6878.3513826299995</v>
      </c>
      <c r="F205" s="33">
        <f t="shared" si="32"/>
        <v>4229.7713391900006</v>
      </c>
      <c r="G205" s="33">
        <f t="shared" si="33"/>
        <v>2390.7401360100012</v>
      </c>
      <c r="H205" s="33">
        <f t="shared" si="34"/>
        <v>9647.5004455999988</v>
      </c>
      <c r="I205" s="43">
        <v>2.3730051004904116</v>
      </c>
      <c r="J205" s="43">
        <v>1.5216060131577962</v>
      </c>
      <c r="K205" s="44"/>
      <c r="L205" s="44"/>
    </row>
    <row r="206" spans="1:12" ht="15.6" x14ac:dyDescent="0.25">
      <c r="A206" s="41" t="s">
        <v>40</v>
      </c>
      <c r="B206" s="42">
        <v>23590.695212070001</v>
      </c>
      <c r="C206" s="42">
        <v>13995.88495462</v>
      </c>
      <c r="D206" s="42">
        <v>11613.439098450001</v>
      </c>
      <c r="E206" s="42">
        <v>7122.6943297500002</v>
      </c>
      <c r="F206" s="33">
        <f t="shared" si="32"/>
        <v>4490.7447687000003</v>
      </c>
      <c r="G206" s="33">
        <f t="shared" si="33"/>
        <v>2382.4458561699994</v>
      </c>
      <c r="H206" s="33">
        <f t="shared" si="34"/>
        <v>9594.8102574500008</v>
      </c>
      <c r="I206" s="43">
        <v>2.3451149046040904</v>
      </c>
      <c r="J206" s="43">
        <v>1.5290507880555482</v>
      </c>
      <c r="K206" s="44"/>
      <c r="L206" s="44"/>
    </row>
    <row r="207" spans="1:12" ht="15.6" x14ac:dyDescent="0.25">
      <c r="A207" s="41" t="s">
        <v>41</v>
      </c>
      <c r="B207" s="42">
        <v>23727.532675800001</v>
      </c>
      <c r="C207" s="42">
        <v>14130.015342300001</v>
      </c>
      <c r="D207" s="42">
        <v>11747.181728110001</v>
      </c>
      <c r="E207" s="42">
        <v>7309.0843174500005</v>
      </c>
      <c r="F207" s="33">
        <f t="shared" si="32"/>
        <v>4438.0974106600006</v>
      </c>
      <c r="G207" s="33">
        <f t="shared" si="33"/>
        <v>2382.8336141899999</v>
      </c>
      <c r="H207" s="33">
        <f t="shared" si="34"/>
        <v>9597.5173334999999</v>
      </c>
      <c r="I207" s="43">
        <v>2.441940283510565</v>
      </c>
      <c r="J207" s="43">
        <v>1.5725948284615536</v>
      </c>
      <c r="K207" s="44"/>
      <c r="L207" s="44"/>
    </row>
    <row r="208" spans="1:12" ht="15.6" x14ac:dyDescent="0.25">
      <c r="A208" s="41" t="s">
        <v>42</v>
      </c>
      <c r="B208" s="42">
        <v>24060.393174919998</v>
      </c>
      <c r="C208" s="42">
        <v>14643.622398929998</v>
      </c>
      <c r="D208" s="42">
        <v>12274.634531</v>
      </c>
      <c r="E208" s="42">
        <v>7601.3712782100001</v>
      </c>
      <c r="F208" s="33">
        <f t="shared" si="32"/>
        <v>4673.2632527899996</v>
      </c>
      <c r="G208" s="33">
        <f t="shared" si="33"/>
        <v>2368.9878679299982</v>
      </c>
      <c r="H208" s="33">
        <f t="shared" si="34"/>
        <v>9416.7707759900004</v>
      </c>
      <c r="I208" s="43">
        <v>2.3317880221202123</v>
      </c>
      <c r="J208" s="43">
        <v>1.5340501015947468</v>
      </c>
      <c r="K208" s="44"/>
      <c r="L208" s="44"/>
    </row>
    <row r="209" spans="1:12" ht="15.6" x14ac:dyDescent="0.25">
      <c r="A209" s="41" t="s">
        <v>54</v>
      </c>
      <c r="B209" s="46">
        <v>28866.306171830001</v>
      </c>
      <c r="C209" s="46">
        <v>18238.611014260001</v>
      </c>
      <c r="D209" s="46">
        <v>15397.917067630002</v>
      </c>
      <c r="E209" s="46">
        <v>9501.0686436600008</v>
      </c>
      <c r="F209" s="54">
        <v>5896.848423970001</v>
      </c>
      <c r="G209" s="54">
        <v>2840.6939466299991</v>
      </c>
      <c r="H209" s="59">
        <v>10627.69515757</v>
      </c>
      <c r="I209" s="63">
        <v>2.1992912794402542</v>
      </c>
      <c r="J209" s="63">
        <v>1.5008104487377483</v>
      </c>
      <c r="K209" s="64"/>
      <c r="L209" s="64"/>
    </row>
    <row r="210" spans="1:12" ht="15.6" x14ac:dyDescent="0.25">
      <c r="A210" s="41" t="s">
        <v>31</v>
      </c>
      <c r="B210" s="42">
        <v>23679.267339400001</v>
      </c>
      <c r="C210" s="42">
        <v>13961.6501642</v>
      </c>
      <c r="D210" s="42">
        <v>11567.361000409999</v>
      </c>
      <c r="E210" s="42">
        <v>7294.8560352599998</v>
      </c>
      <c r="F210" s="33">
        <f t="shared" ref="F210:F221" si="35">+D210-E210</f>
        <v>4272.5049651499994</v>
      </c>
      <c r="G210" s="33">
        <f t="shared" ref="G210:G221" si="36">+C210-D210</f>
        <v>2394.2891637900011</v>
      </c>
      <c r="H210" s="33">
        <f t="shared" ref="H210:H221" si="37">+B210-C210</f>
        <v>9717.6171752000009</v>
      </c>
      <c r="I210" s="43">
        <v>2.5306703327695192</v>
      </c>
      <c r="J210" s="43">
        <v>1.603087063816204</v>
      </c>
      <c r="K210" s="44"/>
      <c r="L210" s="44"/>
    </row>
    <row r="211" spans="1:12" ht="15.6" x14ac:dyDescent="0.25">
      <c r="A211" s="41" t="s">
        <v>32</v>
      </c>
      <c r="B211" s="42">
        <v>24560.268819559999</v>
      </c>
      <c r="C211" s="42">
        <v>14392.6817524</v>
      </c>
      <c r="D211" s="42">
        <v>11963.61943205</v>
      </c>
      <c r="E211" s="42">
        <v>7328.5128599899999</v>
      </c>
      <c r="F211" s="33">
        <f t="shared" si="35"/>
        <v>4635.10657206</v>
      </c>
      <c r="G211" s="33">
        <f t="shared" si="36"/>
        <v>2429.0623203499999</v>
      </c>
      <c r="H211" s="33">
        <f t="shared" si="37"/>
        <v>10167.587067159999</v>
      </c>
      <c r="I211" s="43">
        <v>2.5122206203266186</v>
      </c>
      <c r="J211" s="43">
        <v>1.5966779653159484</v>
      </c>
      <c r="K211" s="44"/>
      <c r="L211" s="44"/>
    </row>
    <row r="212" spans="1:12" ht="15.6" x14ac:dyDescent="0.25">
      <c r="A212" s="41" t="s">
        <v>33</v>
      </c>
      <c r="B212" s="42">
        <v>24198.718659370003</v>
      </c>
      <c r="C212" s="42">
        <v>14293.507187650001</v>
      </c>
      <c r="D212" s="42">
        <v>11726.32872705</v>
      </c>
      <c r="E212" s="42">
        <v>7535.0246510699999</v>
      </c>
      <c r="F212" s="33">
        <f t="shared" si="35"/>
        <v>4191.3040759800006</v>
      </c>
      <c r="G212" s="33">
        <f t="shared" si="36"/>
        <v>2567.1784606000001</v>
      </c>
      <c r="H212" s="33">
        <f t="shared" si="37"/>
        <v>9905.211471720002</v>
      </c>
      <c r="I212" s="43">
        <v>2.4857761235516596</v>
      </c>
      <c r="J212" s="43">
        <v>1.5977085495342764</v>
      </c>
      <c r="K212" s="44"/>
      <c r="L212" s="44"/>
    </row>
    <row r="213" spans="1:12" ht="15.6" x14ac:dyDescent="0.25">
      <c r="A213" s="41" t="s">
        <v>34</v>
      </c>
      <c r="B213" s="42">
        <v>24473.375013390003</v>
      </c>
      <c r="C213" s="42">
        <v>14965.257296850001</v>
      </c>
      <c r="D213" s="42">
        <v>12340.278256290001</v>
      </c>
      <c r="E213" s="42">
        <v>7780.8048372400017</v>
      </c>
      <c r="F213" s="33">
        <f t="shared" si="35"/>
        <v>4559.4734190499994</v>
      </c>
      <c r="G213" s="33">
        <f t="shared" si="36"/>
        <v>2624.9790405599997</v>
      </c>
      <c r="H213" s="33">
        <f t="shared" si="37"/>
        <v>9508.1177165400022</v>
      </c>
      <c r="I213" s="43">
        <v>2.4443112656844637</v>
      </c>
      <c r="J213" s="43">
        <v>1.5761074559317214</v>
      </c>
      <c r="K213" s="44"/>
      <c r="L213" s="44"/>
    </row>
    <row r="214" spans="1:12" ht="15.6" x14ac:dyDescent="0.25">
      <c r="A214" s="41" t="s">
        <v>35</v>
      </c>
      <c r="B214" s="42">
        <v>24834.027645559996</v>
      </c>
      <c r="C214" s="42">
        <v>15491.786150549997</v>
      </c>
      <c r="D214" s="42">
        <v>12917.208396639999</v>
      </c>
      <c r="E214" s="42">
        <v>8151.1907722199985</v>
      </c>
      <c r="F214" s="33">
        <f t="shared" si="35"/>
        <v>4766.0176244200002</v>
      </c>
      <c r="G214" s="33">
        <f t="shared" si="36"/>
        <v>2574.5777539099981</v>
      </c>
      <c r="H214" s="33">
        <f t="shared" si="37"/>
        <v>9342.2414950099992</v>
      </c>
      <c r="I214" s="43">
        <v>2.2381148634724717</v>
      </c>
      <c r="J214" s="43">
        <v>1.5229248548481431</v>
      </c>
      <c r="K214" s="44"/>
      <c r="L214" s="44"/>
    </row>
    <row r="215" spans="1:12" ht="15.6" x14ac:dyDescent="0.25">
      <c r="A215" s="41" t="s">
        <v>36</v>
      </c>
      <c r="B215" s="42">
        <v>25284.16737019</v>
      </c>
      <c r="C215" s="42">
        <v>15834.294932270001</v>
      </c>
      <c r="D215" s="42">
        <v>13250.512669520002</v>
      </c>
      <c r="E215" s="42">
        <v>8376.2610829100013</v>
      </c>
      <c r="F215" s="33">
        <f t="shared" si="35"/>
        <v>4874.2515866100002</v>
      </c>
      <c r="G215" s="33">
        <f t="shared" si="36"/>
        <v>2583.7822627499991</v>
      </c>
      <c r="H215" s="33">
        <f t="shared" si="37"/>
        <v>9449.8724379199994</v>
      </c>
      <c r="I215" s="43">
        <v>2.2463609049912932</v>
      </c>
      <c r="J215" s="43">
        <v>1.5259167469659474</v>
      </c>
      <c r="K215" s="44"/>
      <c r="L215" s="44"/>
    </row>
    <row r="216" spans="1:12" ht="15.6" x14ac:dyDescent="0.25">
      <c r="A216" s="41" t="s">
        <v>37</v>
      </c>
      <c r="B216" s="42">
        <v>25642.276847279998</v>
      </c>
      <c r="C216" s="42">
        <v>16182.182113769999</v>
      </c>
      <c r="D216" s="42">
        <v>13520.414786329999</v>
      </c>
      <c r="E216" s="42">
        <v>8576.7865155399995</v>
      </c>
      <c r="F216" s="33">
        <f t="shared" si="35"/>
        <v>4943.6282707899991</v>
      </c>
      <c r="G216" s="33">
        <f t="shared" si="36"/>
        <v>2661.7673274400004</v>
      </c>
      <c r="H216" s="33">
        <f t="shared" si="37"/>
        <v>9460.0947335099991</v>
      </c>
      <c r="I216" s="43">
        <v>2.197649369454779</v>
      </c>
      <c r="J216" s="43">
        <v>1.5303337374139589</v>
      </c>
      <c r="K216" s="44"/>
      <c r="L216" s="44"/>
    </row>
    <row r="217" spans="1:12" ht="15.6" x14ac:dyDescent="0.25">
      <c r="A217" s="41" t="s">
        <v>38</v>
      </c>
      <c r="B217" s="42">
        <v>25482.677890749997</v>
      </c>
      <c r="C217" s="42">
        <v>15948.621320619997</v>
      </c>
      <c r="D217" s="42">
        <v>13227.429159179999</v>
      </c>
      <c r="E217" s="42">
        <v>8542.6512433400003</v>
      </c>
      <c r="F217" s="33">
        <f t="shared" si="35"/>
        <v>4684.777915839999</v>
      </c>
      <c r="G217" s="33">
        <f t="shared" si="36"/>
        <v>2721.192161439998</v>
      </c>
      <c r="H217" s="33">
        <f t="shared" si="37"/>
        <v>9534.0565701300002</v>
      </c>
      <c r="I217" s="43">
        <v>2.2319995793011782</v>
      </c>
      <c r="J217" s="43">
        <v>1.5701098726516163</v>
      </c>
      <c r="K217" s="44"/>
      <c r="L217" s="44"/>
    </row>
    <row r="218" spans="1:12" ht="15.6" x14ac:dyDescent="0.25">
      <c r="A218" s="41" t="s">
        <v>39</v>
      </c>
      <c r="B218" s="42">
        <v>26550.637924399998</v>
      </c>
      <c r="C218" s="42">
        <v>16217.44025041</v>
      </c>
      <c r="D218" s="42">
        <v>13485.831445190001</v>
      </c>
      <c r="E218" s="42">
        <v>8578.7292310600005</v>
      </c>
      <c r="F218" s="33">
        <f t="shared" si="35"/>
        <v>4907.10221413</v>
      </c>
      <c r="G218" s="33">
        <f t="shared" si="36"/>
        <v>2731.6088052199993</v>
      </c>
      <c r="H218" s="33">
        <f t="shared" si="37"/>
        <v>10333.197673989998</v>
      </c>
      <c r="I218" s="43">
        <v>2.3090997244698142</v>
      </c>
      <c r="J218" s="43">
        <v>1.5872582056026474</v>
      </c>
      <c r="K218" s="44"/>
      <c r="L218" s="44"/>
    </row>
    <row r="219" spans="1:12" ht="15.6" x14ac:dyDescent="0.25">
      <c r="A219" s="41" t="s">
        <v>40</v>
      </c>
      <c r="B219" s="42">
        <v>26446.939961569999</v>
      </c>
      <c r="C219" s="42">
        <v>16339.016886419999</v>
      </c>
      <c r="D219" s="42">
        <v>13579.861621929998</v>
      </c>
      <c r="E219" s="42">
        <v>8693.8154654499995</v>
      </c>
      <c r="F219" s="33">
        <f t="shared" si="35"/>
        <v>4886.0461564799989</v>
      </c>
      <c r="G219" s="33">
        <f t="shared" si="36"/>
        <v>2759.1552644900003</v>
      </c>
      <c r="H219" s="33">
        <f t="shared" si="37"/>
        <v>10107.92307515</v>
      </c>
      <c r="I219" s="43">
        <v>2.3143274440820094</v>
      </c>
      <c r="J219" s="43">
        <v>1.5864919550818222</v>
      </c>
      <c r="K219" s="44"/>
      <c r="L219" s="44"/>
    </row>
    <row r="220" spans="1:12" ht="15.6" x14ac:dyDescent="0.25">
      <c r="A220" s="41" t="s">
        <v>41</v>
      </c>
      <c r="B220" s="42">
        <v>26742.157281190001</v>
      </c>
      <c r="C220" s="42">
        <v>16663.40605034</v>
      </c>
      <c r="D220" s="42">
        <v>13917.7641602</v>
      </c>
      <c r="E220" s="42">
        <v>8827.3702125399996</v>
      </c>
      <c r="F220" s="33">
        <f t="shared" si="35"/>
        <v>5090.3939476600008</v>
      </c>
      <c r="G220" s="33">
        <f t="shared" si="36"/>
        <v>2745.6418901399993</v>
      </c>
      <c r="H220" s="33">
        <f t="shared" si="37"/>
        <v>10078.751230850001</v>
      </c>
      <c r="I220" s="43">
        <v>2.3008386210842198</v>
      </c>
      <c r="J220" s="43">
        <v>1.561043922510676</v>
      </c>
      <c r="K220" s="44"/>
      <c r="L220" s="44"/>
    </row>
    <row r="221" spans="1:12" ht="15.6" x14ac:dyDescent="0.25">
      <c r="A221" s="41" t="s">
        <v>42</v>
      </c>
      <c r="B221" s="42">
        <v>28866.306171830001</v>
      </c>
      <c r="C221" s="42">
        <v>18238.611014260001</v>
      </c>
      <c r="D221" s="42">
        <v>15397.917067630002</v>
      </c>
      <c r="E221" s="42">
        <v>9501.0686436600008</v>
      </c>
      <c r="F221" s="33">
        <f t="shared" si="35"/>
        <v>5896.848423970001</v>
      </c>
      <c r="G221" s="33">
        <f t="shared" si="36"/>
        <v>2840.6939466299991</v>
      </c>
      <c r="H221" s="33">
        <f t="shared" si="37"/>
        <v>10627.69515757</v>
      </c>
      <c r="I221" s="43">
        <v>2.1992912794402542</v>
      </c>
      <c r="J221" s="43">
        <v>1.5008104487377483</v>
      </c>
      <c r="K221" s="44"/>
      <c r="L221" s="44"/>
    </row>
    <row r="222" spans="1:12" ht="15.6" x14ac:dyDescent="0.25">
      <c r="A222" s="41" t="s">
        <v>55</v>
      </c>
      <c r="B222" s="46">
        <v>29185.8075723</v>
      </c>
      <c r="C222" s="46">
        <v>20305.478031890001</v>
      </c>
      <c r="D222" s="46">
        <v>17864.586730620002</v>
      </c>
      <c r="E222" s="46">
        <v>10773.38561295</v>
      </c>
      <c r="F222" s="54">
        <v>7091.2011176700016</v>
      </c>
      <c r="G222" s="54">
        <v>2440.8913012699995</v>
      </c>
      <c r="H222" s="59">
        <v>8880.329540409999</v>
      </c>
      <c r="I222" s="55">
        <v>1.9388848083418642</v>
      </c>
      <c r="J222" s="55">
        <v>1.4969939642453578</v>
      </c>
      <c r="K222" s="44"/>
      <c r="L222" s="44"/>
    </row>
    <row r="223" spans="1:12" ht="15.6" x14ac:dyDescent="0.25">
      <c r="A223" s="41" t="s">
        <v>31</v>
      </c>
      <c r="B223" s="42">
        <v>28530.438004700001</v>
      </c>
      <c r="C223" s="42">
        <v>17946.084792710004</v>
      </c>
      <c r="D223" s="42">
        <v>15095.747673960002</v>
      </c>
      <c r="E223" s="42">
        <v>9266.6770643600012</v>
      </c>
      <c r="F223" s="33">
        <f t="shared" ref="F223:F234" si="38">+D223-E223</f>
        <v>5829.0706096000013</v>
      </c>
      <c r="G223" s="33">
        <f t="shared" ref="G223:G273" si="39">+C223-D223</f>
        <v>2850.3371187500015</v>
      </c>
      <c r="H223" s="33">
        <f t="shared" ref="H223:H234" si="40">+B223-C223</f>
        <v>10584.353211989997</v>
      </c>
      <c r="I223" s="43">
        <v>2.2638129305686601</v>
      </c>
      <c r="J223" s="43">
        <v>1.5546611956911813</v>
      </c>
      <c r="K223" s="44"/>
      <c r="L223" s="44"/>
    </row>
    <row r="224" spans="1:12" ht="15.6" x14ac:dyDescent="0.25">
      <c r="A224" s="41" t="s">
        <v>32</v>
      </c>
      <c r="B224" s="42">
        <v>28616.692781510006</v>
      </c>
      <c r="C224" s="42">
        <v>18299.369793800004</v>
      </c>
      <c r="D224" s="42">
        <v>15398.179885100002</v>
      </c>
      <c r="E224" s="42">
        <v>9579.1853838200004</v>
      </c>
      <c r="F224" s="33">
        <f t="shared" si="38"/>
        <v>5818.9945012800017</v>
      </c>
      <c r="G224" s="33">
        <f t="shared" si="39"/>
        <v>2901.189908700002</v>
      </c>
      <c r="H224" s="33">
        <f t="shared" si="40"/>
        <v>10317.322987710002</v>
      </c>
      <c r="I224" s="43">
        <v>2.1438208591158481</v>
      </c>
      <c r="J224" s="43">
        <v>1.5108030045842273</v>
      </c>
      <c r="K224" s="44"/>
      <c r="L224" s="44"/>
    </row>
    <row r="225" spans="1:14" ht="15.6" x14ac:dyDescent="0.25">
      <c r="A225" s="41" t="s">
        <v>33</v>
      </c>
      <c r="B225" s="42">
        <v>26721.191360860001</v>
      </c>
      <c r="C225" s="42">
        <v>16442.773718979999</v>
      </c>
      <c r="D225" s="42">
        <v>13835.413800359998</v>
      </c>
      <c r="E225" s="42">
        <v>8530.7902558099995</v>
      </c>
      <c r="F225" s="33">
        <f t="shared" si="38"/>
        <v>5304.6235445499988</v>
      </c>
      <c r="G225" s="33">
        <f t="shared" si="39"/>
        <v>2607.3599186200008</v>
      </c>
      <c r="H225" s="33">
        <f t="shared" si="40"/>
        <v>10278.417641880002</v>
      </c>
      <c r="I225" s="43">
        <v>2.3520642532752709</v>
      </c>
      <c r="J225" s="43">
        <v>1.6333505236649228</v>
      </c>
      <c r="K225" s="44"/>
      <c r="L225" s="44"/>
    </row>
    <row r="226" spans="1:14" ht="15.6" x14ac:dyDescent="0.25">
      <c r="A226" s="41" t="s">
        <v>34</v>
      </c>
      <c r="B226" s="42">
        <v>26291.803887550002</v>
      </c>
      <c r="C226" s="42">
        <v>16484.154980580002</v>
      </c>
      <c r="D226" s="42">
        <v>14104.232106200001</v>
      </c>
      <c r="E226" s="42">
        <v>8705.0063684699999</v>
      </c>
      <c r="F226" s="33">
        <f t="shared" si="38"/>
        <v>5399.2257377300011</v>
      </c>
      <c r="G226" s="33">
        <f t="shared" si="39"/>
        <v>2379.9228743800013</v>
      </c>
      <c r="H226" s="33">
        <f t="shared" si="40"/>
        <v>9807.6489069700001</v>
      </c>
      <c r="I226" s="43">
        <v>2.2330596959186444</v>
      </c>
      <c r="J226" s="43">
        <v>1.6376545618552376</v>
      </c>
      <c r="K226" s="44"/>
      <c r="L226" s="65"/>
    </row>
    <row r="227" spans="1:14" ht="15.6" x14ac:dyDescent="0.25">
      <c r="A227" s="41" t="s">
        <v>35</v>
      </c>
      <c r="B227" s="42">
        <v>26630.223010220001</v>
      </c>
      <c r="C227" s="42">
        <v>17021.310660290001</v>
      </c>
      <c r="D227" s="42">
        <v>14796.009574129999</v>
      </c>
      <c r="E227" s="42">
        <v>9009.7746494900002</v>
      </c>
      <c r="F227" s="33">
        <f t="shared" si="38"/>
        <v>5786.234924639999</v>
      </c>
      <c r="G227" s="33">
        <f t="shared" si="39"/>
        <v>2225.3010861600014</v>
      </c>
      <c r="H227" s="33">
        <f t="shared" si="40"/>
        <v>9608.9123499300003</v>
      </c>
      <c r="I227" s="43">
        <v>2.1336901129701085</v>
      </c>
      <c r="J227" s="43">
        <v>1.5585558174618896</v>
      </c>
      <c r="K227" s="44"/>
      <c r="L227" s="44"/>
    </row>
    <row r="228" spans="1:14" ht="15.6" x14ac:dyDescent="0.25">
      <c r="A228" s="41" t="s">
        <v>36</v>
      </c>
      <c r="B228" s="42">
        <v>26213.509605029998</v>
      </c>
      <c r="C228" s="42">
        <v>17169.070671429996</v>
      </c>
      <c r="D228" s="42">
        <v>14942.896773009998</v>
      </c>
      <c r="E228" s="42">
        <v>9246.6252634299999</v>
      </c>
      <c r="F228" s="33">
        <f t="shared" si="38"/>
        <v>5696.2715095799977</v>
      </c>
      <c r="G228" s="33">
        <f t="shared" si="39"/>
        <v>2226.1738984199983</v>
      </c>
      <c r="H228" s="33">
        <f t="shared" si="40"/>
        <v>9044.4389336000022</v>
      </c>
      <c r="I228" s="43">
        <v>2.0551999569262764</v>
      </c>
      <c r="J228" s="43">
        <v>1.5258989557921698</v>
      </c>
      <c r="K228" s="44"/>
      <c r="L228" s="44"/>
    </row>
    <row r="229" spans="1:14" ht="15.6" x14ac:dyDescent="0.25">
      <c r="A229" s="41" t="s">
        <v>37</v>
      </c>
      <c r="B229" s="42">
        <v>26711.806260920002</v>
      </c>
      <c r="C229" s="42">
        <v>17927.599440490001</v>
      </c>
      <c r="D229" s="42">
        <v>15575.276604620001</v>
      </c>
      <c r="E229" s="42">
        <v>9722.9362969900012</v>
      </c>
      <c r="F229" s="33">
        <f t="shared" si="38"/>
        <v>5852.3403076300001</v>
      </c>
      <c r="G229" s="33">
        <f t="shared" si="39"/>
        <v>2352.3228358699998</v>
      </c>
      <c r="H229" s="33">
        <f t="shared" si="40"/>
        <v>8784.2068204300012</v>
      </c>
      <c r="I229" s="43">
        <v>2.0915744484160306</v>
      </c>
      <c r="J229" s="43">
        <v>1.5353000314638554</v>
      </c>
      <c r="K229" s="44"/>
      <c r="L229" s="44"/>
    </row>
    <row r="230" spans="1:14" ht="15.6" x14ac:dyDescent="0.25">
      <c r="A230" s="41" t="s">
        <v>38</v>
      </c>
      <c r="B230" s="42">
        <v>26923.408240420002</v>
      </c>
      <c r="C230" s="42">
        <v>18109.264225810002</v>
      </c>
      <c r="D230" s="42">
        <v>15699.041465110004</v>
      </c>
      <c r="E230" s="42">
        <v>9848.237784490002</v>
      </c>
      <c r="F230" s="33">
        <f t="shared" si="38"/>
        <v>5850.8036806200016</v>
      </c>
      <c r="G230" s="33">
        <f t="shared" si="39"/>
        <v>2410.2227606999986</v>
      </c>
      <c r="H230" s="33">
        <f t="shared" si="40"/>
        <v>8814.1440146099994</v>
      </c>
      <c r="I230" s="43">
        <v>2.0690048507223282</v>
      </c>
      <c r="J230" s="43">
        <v>1.5208297765165963</v>
      </c>
      <c r="K230" s="44"/>
      <c r="L230" s="44"/>
    </row>
    <row r="231" spans="1:14" ht="15.6" x14ac:dyDescent="0.25">
      <c r="A231" s="41" t="s">
        <v>39</v>
      </c>
      <c r="B231" s="42">
        <v>26783.275633080004</v>
      </c>
      <c r="C231" s="42">
        <v>18427.776442160004</v>
      </c>
      <c r="D231" s="42">
        <v>15925.502069640002</v>
      </c>
      <c r="E231" s="42">
        <v>9865.6260706300018</v>
      </c>
      <c r="F231" s="33">
        <f t="shared" si="38"/>
        <v>6059.8759990100007</v>
      </c>
      <c r="G231" s="33">
        <f t="shared" si="39"/>
        <v>2502.2743725200016</v>
      </c>
      <c r="H231" s="33">
        <f t="shared" si="40"/>
        <v>8355.4991909199998</v>
      </c>
      <c r="I231" s="43">
        <v>2.023883822216888</v>
      </c>
      <c r="J231" s="43">
        <v>1.5067565256926374</v>
      </c>
      <c r="K231" s="44"/>
      <c r="L231" s="65"/>
    </row>
    <row r="232" spans="1:14" ht="15.6" x14ac:dyDescent="0.25">
      <c r="A232" s="41" t="s">
        <v>40</v>
      </c>
      <c r="B232" s="42">
        <v>26947.879233219999</v>
      </c>
      <c r="C232" s="42">
        <v>18573.567093120004</v>
      </c>
      <c r="D232" s="42">
        <v>16171.274612620004</v>
      </c>
      <c r="E232" s="42">
        <v>9988.0682326200022</v>
      </c>
      <c r="F232" s="33">
        <f t="shared" si="38"/>
        <v>6183.2063800000014</v>
      </c>
      <c r="G232" s="33">
        <f t="shared" si="39"/>
        <v>2402.2924805000002</v>
      </c>
      <c r="H232" s="33">
        <f t="shared" si="40"/>
        <v>8374.3121400999953</v>
      </c>
      <c r="I232" s="43">
        <v>1.9994604234339151</v>
      </c>
      <c r="J232" s="43">
        <v>1.5345475901124233</v>
      </c>
      <c r="K232" s="44"/>
      <c r="L232" s="44"/>
    </row>
    <row r="233" spans="1:14" ht="15.6" x14ac:dyDescent="0.25">
      <c r="A233" s="41" t="s">
        <v>41</v>
      </c>
      <c r="B233" s="42">
        <v>27147.102955900002</v>
      </c>
      <c r="C233" s="42">
        <v>18613.844544650001</v>
      </c>
      <c r="D233" s="42">
        <v>16232.407969469999</v>
      </c>
      <c r="E233" s="42">
        <v>10164.55864732</v>
      </c>
      <c r="F233" s="33">
        <f t="shared" si="38"/>
        <v>6067.8493221499994</v>
      </c>
      <c r="G233" s="33">
        <f t="shared" si="39"/>
        <v>2381.4365751800015</v>
      </c>
      <c r="H233" s="33">
        <f t="shared" si="40"/>
        <v>8533.2584112500008</v>
      </c>
      <c r="I233" s="43">
        <v>2.0501932399120681</v>
      </c>
      <c r="J233" s="43">
        <v>1.5769595944058536</v>
      </c>
      <c r="K233" s="44"/>
      <c r="L233" s="44"/>
    </row>
    <row r="234" spans="1:14" ht="15.6" x14ac:dyDescent="0.25">
      <c r="A234" s="41" t="s">
        <v>42</v>
      </c>
      <c r="B234" s="42">
        <v>29185.8075723</v>
      </c>
      <c r="C234" s="42">
        <v>20305.478031890001</v>
      </c>
      <c r="D234" s="42">
        <v>17864.586730620002</v>
      </c>
      <c r="E234" s="42">
        <v>10773.38561295</v>
      </c>
      <c r="F234" s="33">
        <f t="shared" si="38"/>
        <v>7091.2011176700016</v>
      </c>
      <c r="G234" s="33">
        <f t="shared" si="39"/>
        <v>2440.8913012699995</v>
      </c>
      <c r="H234" s="33">
        <f t="shared" si="40"/>
        <v>8880.329540409999</v>
      </c>
      <c r="I234" s="43">
        <v>1.9388848083418642</v>
      </c>
      <c r="J234" s="43">
        <v>1.4969939642453578</v>
      </c>
      <c r="K234" s="44"/>
      <c r="L234" s="44"/>
    </row>
    <row r="235" spans="1:14" ht="15.6" x14ac:dyDescent="0.25">
      <c r="A235" s="41" t="s">
        <v>56</v>
      </c>
      <c r="B235" s="46">
        <v>34646.641486510001</v>
      </c>
      <c r="C235" s="46">
        <v>23874.89363441</v>
      </c>
      <c r="D235" s="46">
        <v>20572.53776404</v>
      </c>
      <c r="E235" s="46">
        <v>10940.841220230001</v>
      </c>
      <c r="F235" s="54">
        <v>9631.6965438099996</v>
      </c>
      <c r="G235" s="54">
        <v>3302.35587037</v>
      </c>
      <c r="H235" s="59">
        <v>10771.747852100001</v>
      </c>
      <c r="I235" s="55">
        <v>1.7532477398525235</v>
      </c>
      <c r="J235" s="55">
        <v>1.3310004789895935</v>
      </c>
      <c r="K235" s="44"/>
      <c r="L235" s="66"/>
      <c r="M235" s="18"/>
      <c r="N235" s="18"/>
    </row>
    <row r="236" spans="1:14" ht="15.6" x14ac:dyDescent="0.25">
      <c r="A236" s="41" t="s">
        <v>31</v>
      </c>
      <c r="B236" s="42">
        <v>28112.278405040001</v>
      </c>
      <c r="C236" s="42">
        <v>19488.342999029999</v>
      </c>
      <c r="D236" s="42">
        <v>16944.07643614</v>
      </c>
      <c r="E236" s="42">
        <v>10329.90163409</v>
      </c>
      <c r="F236" s="33">
        <f t="shared" ref="F236:F273" si="41">+D236-E236</f>
        <v>6614.1748020499999</v>
      </c>
      <c r="G236" s="33">
        <f t="shared" si="39"/>
        <v>2544.2665628899995</v>
      </c>
      <c r="H236" s="33">
        <f t="shared" ref="H236:H260" si="42">+B236-C236</f>
        <v>8623.9354060100013</v>
      </c>
      <c r="I236" s="43">
        <v>1.9924689886539917</v>
      </c>
      <c r="J236" s="43">
        <v>1.5246658343751338</v>
      </c>
      <c r="K236" s="44">
        <f>B236/M236</f>
        <v>1.9924689886539917</v>
      </c>
      <c r="L236" s="66">
        <f>C236/N236</f>
        <v>1.5246658343751338</v>
      </c>
      <c r="M236" s="18">
        <f>'[1]2.5'!B229</f>
        <v>14109.267730200003</v>
      </c>
      <c r="N236" s="18">
        <f>'[1]2.5'!C229</f>
        <v>12782.042175830002</v>
      </c>
    </row>
    <row r="237" spans="1:14" ht="15.6" x14ac:dyDescent="0.25">
      <c r="A237" s="41" t="s">
        <v>32</v>
      </c>
      <c r="B237" s="42">
        <v>28578.033526200001</v>
      </c>
      <c r="C237" s="42">
        <v>19587.868783220001</v>
      </c>
      <c r="D237" s="42">
        <v>16988.62193601</v>
      </c>
      <c r="E237" s="42">
        <v>10457.955805019999</v>
      </c>
      <c r="F237" s="33">
        <f t="shared" si="41"/>
        <v>6530.666130990001</v>
      </c>
      <c r="G237" s="33">
        <f t="shared" si="39"/>
        <v>2599.2468472100009</v>
      </c>
      <c r="H237" s="33">
        <f t="shared" si="42"/>
        <v>8990.1647429799996</v>
      </c>
      <c r="I237" s="43">
        <f t="shared" ref="I237:J247" si="43">B237/M237</f>
        <v>2.0198668428621835</v>
      </c>
      <c r="J237" s="43">
        <f t="shared" si="43"/>
        <v>1.5228077324598714</v>
      </c>
      <c r="K237" s="44"/>
      <c r="L237" s="44"/>
      <c r="M237" s="18">
        <f>'[1]2.5'!B230</f>
        <v>14148.474008169998</v>
      </c>
      <c r="N237" s="18">
        <f>'[1]2.5'!C230</f>
        <v>12862.995351079999</v>
      </c>
    </row>
    <row r="238" spans="1:14" ht="15.6" x14ac:dyDescent="0.25">
      <c r="A238" s="41" t="s">
        <v>33</v>
      </c>
      <c r="B238" s="42">
        <v>29299.494618340002</v>
      </c>
      <c r="C238" s="42">
        <v>20319.899299190001</v>
      </c>
      <c r="D238" s="42">
        <v>17633.320740970001</v>
      </c>
      <c r="E238" s="42">
        <v>10589.623156830001</v>
      </c>
      <c r="F238" s="33">
        <f t="shared" si="41"/>
        <v>7043.6975841399999</v>
      </c>
      <c r="G238" s="33">
        <f t="shared" si="39"/>
        <v>2686.5785582200006</v>
      </c>
      <c r="H238" s="33">
        <f t="shared" si="42"/>
        <v>8979.5953191500012</v>
      </c>
      <c r="I238" s="43">
        <f t="shared" si="43"/>
        <v>1.976891666496343</v>
      </c>
      <c r="J238" s="43">
        <f t="shared" si="43"/>
        <v>1.5260945671909625</v>
      </c>
      <c r="K238" s="44"/>
      <c r="L238" s="44"/>
      <c r="M238" s="18">
        <f>'[1]2.5'!B231</f>
        <v>14820.991516580003</v>
      </c>
      <c r="N238" s="18">
        <f>'[1]2.5'!C231</f>
        <v>13314.967326430002</v>
      </c>
    </row>
    <row r="239" spans="1:14" ht="15.6" x14ac:dyDescent="0.25">
      <c r="A239" s="41" t="s">
        <v>34</v>
      </c>
      <c r="B239" s="42">
        <v>29753.875841000001</v>
      </c>
      <c r="C239" s="42">
        <v>20889.349868739999</v>
      </c>
      <c r="D239" s="42">
        <v>18075.243998049998</v>
      </c>
      <c r="E239" s="42">
        <v>10555.483952099999</v>
      </c>
      <c r="F239" s="33">
        <f t="shared" si="41"/>
        <v>7519.760045949999</v>
      </c>
      <c r="G239" s="33">
        <f t="shared" si="39"/>
        <v>2814.1058706900003</v>
      </c>
      <c r="H239" s="33">
        <f t="shared" si="42"/>
        <v>8864.5259722600022</v>
      </c>
      <c r="I239" s="43">
        <f t="shared" si="43"/>
        <v>2.0250624189859265</v>
      </c>
      <c r="J239" s="43">
        <f t="shared" si="43"/>
        <v>1.5728055932403093</v>
      </c>
      <c r="K239" s="44"/>
      <c r="L239" s="44"/>
      <c r="M239" s="18">
        <f>'[1]2.5'!B232</f>
        <v>14692.819125990001</v>
      </c>
      <c r="N239" s="18">
        <f>'[1]2.5'!C232</f>
        <v>13281.584169410002</v>
      </c>
    </row>
    <row r="240" spans="1:14" ht="15.6" x14ac:dyDescent="0.25">
      <c r="A240" s="41" t="s">
        <v>35</v>
      </c>
      <c r="B240" s="42">
        <v>30456.969707119999</v>
      </c>
      <c r="C240" s="42">
        <v>21612.49612172</v>
      </c>
      <c r="D240" s="42">
        <v>18735.663815849999</v>
      </c>
      <c r="E240" s="42">
        <v>10654.934174459999</v>
      </c>
      <c r="F240" s="33">
        <f t="shared" si="41"/>
        <v>8080.7296413900003</v>
      </c>
      <c r="G240" s="33">
        <f t="shared" si="39"/>
        <v>2876.8323058700007</v>
      </c>
      <c r="H240" s="33">
        <f t="shared" si="42"/>
        <v>8844.4735853999991</v>
      </c>
      <c r="I240" s="43">
        <f t="shared" si="43"/>
        <v>2.0050741705146065</v>
      </c>
      <c r="J240" s="43">
        <f t="shared" si="43"/>
        <v>1.5597071535724181</v>
      </c>
      <c r="K240" s="44"/>
      <c r="L240" s="44"/>
      <c r="M240" s="18">
        <f>'[1]2.5'!B233</f>
        <v>15189.946663819999</v>
      </c>
      <c r="N240" s="18">
        <f>'[1]2.5'!C233</f>
        <v>13856.76540126</v>
      </c>
    </row>
    <row r="241" spans="1:14" ht="15.6" x14ac:dyDescent="0.25">
      <c r="A241" s="41" t="s">
        <v>36</v>
      </c>
      <c r="B241" s="42">
        <v>30293.936078300005</v>
      </c>
      <c r="C241" s="42">
        <v>21480.734456599999</v>
      </c>
      <c r="D241" s="42">
        <v>18542.401700269998</v>
      </c>
      <c r="E241" s="42">
        <v>10737.548461589999</v>
      </c>
      <c r="F241" s="33">
        <f t="shared" si="41"/>
        <v>7804.8532386799998</v>
      </c>
      <c r="G241" s="33">
        <f t="shared" si="39"/>
        <v>2938.3327563300008</v>
      </c>
      <c r="H241" s="33">
        <f t="shared" si="42"/>
        <v>8813.2016217000055</v>
      </c>
      <c r="I241" s="43">
        <f t="shared" si="43"/>
        <v>1.9953953990807178</v>
      </c>
      <c r="J241" s="43">
        <f t="shared" si="43"/>
        <v>1.5562392057055507</v>
      </c>
      <c r="K241" s="44"/>
      <c r="L241" s="44"/>
      <c r="M241" s="18">
        <f>'[1]2.5'!B234</f>
        <v>15181.921383729999</v>
      </c>
      <c r="N241" s="18">
        <f>'[1]2.5'!C234</f>
        <v>13802.977317270001</v>
      </c>
    </row>
    <row r="242" spans="1:14" ht="15.6" x14ac:dyDescent="0.25">
      <c r="A242" s="41" t="s">
        <v>37</v>
      </c>
      <c r="B242" s="42">
        <v>31507.316668150001</v>
      </c>
      <c r="C242" s="42">
        <v>21840.937861350001</v>
      </c>
      <c r="D242" s="42">
        <v>18791.42961444</v>
      </c>
      <c r="E242" s="42">
        <v>11049.627339399998</v>
      </c>
      <c r="F242" s="33">
        <f t="shared" si="41"/>
        <v>7741.8022750400014</v>
      </c>
      <c r="G242" s="33">
        <f t="shared" si="39"/>
        <v>3049.5082469100016</v>
      </c>
      <c r="H242" s="33">
        <f t="shared" si="42"/>
        <v>9666.3788067999994</v>
      </c>
      <c r="I242" s="43">
        <f t="shared" si="43"/>
        <v>2.0140423193477539</v>
      </c>
      <c r="J242" s="43">
        <f t="shared" si="43"/>
        <v>1.5366458412827888</v>
      </c>
      <c r="K242" s="44"/>
      <c r="L242" s="44"/>
      <c r="M242" s="18">
        <f>'[1]2.5'!B235</f>
        <v>15643.82057193</v>
      </c>
      <c r="N242" s="18">
        <f>'[1]2.5'!C235</f>
        <v>14213.38429102</v>
      </c>
    </row>
    <row r="243" spans="1:14" ht="15.6" x14ac:dyDescent="0.25">
      <c r="A243" s="41" t="s">
        <v>38</v>
      </c>
      <c r="B243" s="42">
        <v>31289.157555910002</v>
      </c>
      <c r="C243" s="42">
        <v>21946.90603559</v>
      </c>
      <c r="D243" s="42">
        <v>18944.11376144</v>
      </c>
      <c r="E243" s="42">
        <v>10989.504211420001</v>
      </c>
      <c r="F243" s="33">
        <f t="shared" si="41"/>
        <v>7954.609550019999</v>
      </c>
      <c r="G243" s="33">
        <f t="shared" si="39"/>
        <v>3002.7922741500006</v>
      </c>
      <c r="H243" s="33">
        <f t="shared" si="42"/>
        <v>9342.2515203200019</v>
      </c>
      <c r="I243" s="43">
        <f t="shared" si="43"/>
        <v>2.0238485040374763</v>
      </c>
      <c r="J243" s="43">
        <f t="shared" si="43"/>
        <v>1.548574106929232</v>
      </c>
      <c r="K243" s="44"/>
      <c r="L243" s="44"/>
      <c r="M243" s="18">
        <f>'[1]2.5'!B236</f>
        <v>15460.227133350001</v>
      </c>
      <c r="N243" s="18">
        <f>'[1]2.5'!C236</f>
        <v>14172.33178405</v>
      </c>
    </row>
    <row r="244" spans="1:14" ht="15.6" x14ac:dyDescent="0.25">
      <c r="A244" s="41" t="s">
        <v>39</v>
      </c>
      <c r="B244" s="42">
        <v>32212.136309789996</v>
      </c>
      <c r="C244" s="42">
        <v>22407.213064970001</v>
      </c>
      <c r="D244" s="42">
        <v>19265.41110012</v>
      </c>
      <c r="E244" s="42">
        <v>11039.448140099999</v>
      </c>
      <c r="F244" s="33">
        <f t="shared" si="41"/>
        <v>8225.9629600200005</v>
      </c>
      <c r="G244" s="33">
        <f t="shared" si="39"/>
        <v>3141.8019648500012</v>
      </c>
      <c r="H244" s="33">
        <f t="shared" si="42"/>
        <v>9804.9232448199946</v>
      </c>
      <c r="I244" s="43">
        <f t="shared" si="43"/>
        <v>2.0485030504744803</v>
      </c>
      <c r="J244" s="43">
        <f t="shared" si="43"/>
        <v>1.5454591902739705</v>
      </c>
      <c r="K244" s="44"/>
      <c r="L244" s="44"/>
      <c r="M244" s="18">
        <f>'[1]2.5'!B237</f>
        <v>15724.71971781</v>
      </c>
      <c r="N244" s="18">
        <f>'[1]2.5'!C237</f>
        <v>14498.74134884</v>
      </c>
    </row>
    <row r="245" spans="1:14" ht="15.6" x14ac:dyDescent="0.25">
      <c r="A245" s="41" t="s">
        <v>40</v>
      </c>
      <c r="B245" s="42">
        <v>32462.807922790002</v>
      </c>
      <c r="C245" s="42">
        <v>22578.347080030002</v>
      </c>
      <c r="D245" s="42">
        <v>19392.333370760003</v>
      </c>
      <c r="E245" s="42">
        <v>11080.009622400003</v>
      </c>
      <c r="F245" s="33">
        <f t="shared" si="41"/>
        <v>8312.3237483600005</v>
      </c>
      <c r="G245" s="33">
        <f t="shared" si="39"/>
        <v>3186.0137092699988</v>
      </c>
      <c r="H245" s="33">
        <f t="shared" si="42"/>
        <v>9884.4608427599997</v>
      </c>
      <c r="I245" s="43">
        <f t="shared" si="43"/>
        <v>2.0206181700188752</v>
      </c>
      <c r="J245" s="43">
        <f t="shared" si="43"/>
        <v>1.5442163025354065</v>
      </c>
      <c r="K245" s="44"/>
      <c r="L245" s="44"/>
      <c r="M245" s="18">
        <f>'[1]2.5'!B238</f>
        <v>16065.780464840003</v>
      </c>
      <c r="N245" s="18">
        <f>'[1]2.5'!C238</f>
        <v>14621.233465130003</v>
      </c>
    </row>
    <row r="246" spans="1:14" ht="15.6" x14ac:dyDescent="0.25">
      <c r="A246" s="41" t="s">
        <v>41</v>
      </c>
      <c r="B246" s="42">
        <v>33031.295621280005</v>
      </c>
      <c r="C246" s="42">
        <v>22743.669427119996</v>
      </c>
      <c r="D246" s="42">
        <v>19513.868746059998</v>
      </c>
      <c r="E246" s="42">
        <v>10852.38754025</v>
      </c>
      <c r="F246" s="33">
        <f t="shared" si="41"/>
        <v>8661.4812058099978</v>
      </c>
      <c r="G246" s="33">
        <f t="shared" si="39"/>
        <v>3229.8006810599982</v>
      </c>
      <c r="H246" s="33">
        <f t="shared" si="42"/>
        <v>10287.62619416001</v>
      </c>
      <c r="I246" s="43">
        <f t="shared" si="43"/>
        <v>2.1328178779332885</v>
      </c>
      <c r="J246" s="43">
        <f t="shared" si="43"/>
        <v>1.5927940635499249</v>
      </c>
      <c r="K246" s="44"/>
      <c r="L246" s="44"/>
      <c r="M246" s="18">
        <f>'[1]2.5'!B239</f>
        <v>15487.161826160002</v>
      </c>
      <c r="N246" s="18">
        <f>'[1]2.5'!C239</f>
        <v>14279.102331930002</v>
      </c>
    </row>
    <row r="247" spans="1:14" ht="15.6" x14ac:dyDescent="0.25">
      <c r="A247" s="41" t="s">
        <v>42</v>
      </c>
      <c r="B247" s="42">
        <v>34646.641486510001</v>
      </c>
      <c r="C247" s="42">
        <v>23874.89363441</v>
      </c>
      <c r="D247" s="42">
        <v>20572.53776404</v>
      </c>
      <c r="E247" s="42">
        <v>10940.841220230001</v>
      </c>
      <c r="F247" s="33">
        <f t="shared" si="41"/>
        <v>9631.6965438099996</v>
      </c>
      <c r="G247" s="33">
        <f t="shared" si="39"/>
        <v>3302.35587037</v>
      </c>
      <c r="H247" s="33">
        <f t="shared" si="42"/>
        <v>10771.747852100001</v>
      </c>
      <c r="I247" s="43">
        <f t="shared" si="43"/>
        <v>1.7532477398525235</v>
      </c>
      <c r="J247" s="43">
        <f t="shared" si="43"/>
        <v>1.3310004789895935</v>
      </c>
      <c r="K247" s="44"/>
      <c r="L247" s="44"/>
      <c r="M247" s="18">
        <f>'[1]2.5'!B240</f>
        <v>19761.4066164</v>
      </c>
      <c r="N247" s="18">
        <f>'[1]2.5'!C240</f>
        <v>17937.554502260002</v>
      </c>
    </row>
    <row r="248" spans="1:14" ht="15.6" x14ac:dyDescent="0.25">
      <c r="A248" s="41" t="s">
        <v>57</v>
      </c>
      <c r="B248" s="46">
        <v>42824.929994710001</v>
      </c>
      <c r="C248" s="46">
        <v>29565.60384879</v>
      </c>
      <c r="D248" s="46">
        <v>25365.805405030005</v>
      </c>
      <c r="E248" s="46">
        <v>13297.493267379999</v>
      </c>
      <c r="F248" s="67">
        <f t="shared" si="41"/>
        <v>12068.312137650006</v>
      </c>
      <c r="G248" s="67">
        <f t="shared" si="39"/>
        <v>4199.7984437599953</v>
      </c>
      <c r="H248" s="67">
        <f t="shared" si="42"/>
        <v>13259.32614592</v>
      </c>
      <c r="I248" s="55">
        <v>2.0490141781273299</v>
      </c>
      <c r="J248" s="55">
        <v>1.6933069359993795</v>
      </c>
      <c r="K248" s="44"/>
      <c r="L248" s="44"/>
      <c r="M248" s="18"/>
      <c r="N248" s="18"/>
    </row>
    <row r="249" spans="1:14" ht="15.6" x14ac:dyDescent="0.25">
      <c r="A249" s="41" t="s">
        <v>31</v>
      </c>
      <c r="B249" s="42">
        <v>34647.601212809997</v>
      </c>
      <c r="C249" s="42">
        <v>23113.733211639999</v>
      </c>
      <c r="D249" s="42">
        <v>19761.854880719999</v>
      </c>
      <c r="E249" s="42">
        <v>10284.268519800002</v>
      </c>
      <c r="F249" s="33">
        <f t="shared" si="41"/>
        <v>9477.5863609199969</v>
      </c>
      <c r="G249" s="33">
        <f t="shared" si="39"/>
        <v>3351.8783309200007</v>
      </c>
      <c r="H249" s="33">
        <f t="shared" si="42"/>
        <v>11533.868001169998</v>
      </c>
      <c r="I249" s="43">
        <f t="shared" ref="I249:J260" si="44">B249/M249</f>
        <v>2.2467501489451283</v>
      </c>
      <c r="J249" s="43">
        <f t="shared" si="44"/>
        <v>1.6457792395193094</v>
      </c>
      <c r="K249" s="44"/>
      <c r="L249" s="44"/>
      <c r="M249" s="18">
        <f>'[1]2.5'!B242</f>
        <v>15421.207929630002</v>
      </c>
      <c r="N249" s="18">
        <f>'[1]2.5'!C242</f>
        <v>14044.248861950002</v>
      </c>
    </row>
    <row r="250" spans="1:14" ht="15.6" x14ac:dyDescent="0.25">
      <c r="A250" s="41" t="s">
        <v>32</v>
      </c>
      <c r="B250" s="42">
        <v>33884.104274700003</v>
      </c>
      <c r="C250" s="42">
        <v>23010.41155588</v>
      </c>
      <c r="D250" s="42">
        <v>19632.115868050001</v>
      </c>
      <c r="E250" s="42">
        <v>10482.60273024</v>
      </c>
      <c r="F250" s="33">
        <f t="shared" si="41"/>
        <v>9149.5131378100014</v>
      </c>
      <c r="G250" s="33">
        <f t="shared" si="39"/>
        <v>3378.2956878299992</v>
      </c>
      <c r="H250" s="33">
        <f t="shared" si="42"/>
        <v>10873.692718820002</v>
      </c>
      <c r="I250" s="43">
        <f t="shared" si="44"/>
        <v>2.2047240010252094</v>
      </c>
      <c r="J250" s="43">
        <f t="shared" si="44"/>
        <v>1.6500096878626571</v>
      </c>
      <c r="K250" s="44"/>
      <c r="L250" s="44"/>
      <c r="M250" s="18">
        <v>15368.86442881</v>
      </c>
      <c r="N250" s="18">
        <v>13945.622092490001</v>
      </c>
    </row>
    <row r="251" spans="1:14" ht="15.6" x14ac:dyDescent="0.25">
      <c r="A251" s="41" t="s">
        <v>33</v>
      </c>
      <c r="B251" s="42">
        <v>34910.528772350001</v>
      </c>
      <c r="C251" s="42">
        <v>23597.133387610003</v>
      </c>
      <c r="D251" s="42">
        <v>20249.671750380003</v>
      </c>
      <c r="E251" s="42">
        <v>10525.19638263</v>
      </c>
      <c r="F251" s="33">
        <f t="shared" si="41"/>
        <v>9724.475367750003</v>
      </c>
      <c r="G251" s="33">
        <f t="shared" si="39"/>
        <v>3347.4616372300006</v>
      </c>
      <c r="H251" s="33">
        <f t="shared" si="42"/>
        <v>11313.395384739997</v>
      </c>
      <c r="I251" s="43">
        <f t="shared" si="44"/>
        <v>2.1281763781096026</v>
      </c>
      <c r="J251" s="43">
        <f t="shared" si="44"/>
        <v>1.6433020761461905</v>
      </c>
      <c r="K251" s="44"/>
      <c r="L251" s="44"/>
      <c r="M251" s="18">
        <v>16403.964037680002</v>
      </c>
      <c r="N251" s="18">
        <v>14359.583505760002</v>
      </c>
    </row>
    <row r="252" spans="1:14" ht="15.6" x14ac:dyDescent="0.25">
      <c r="A252" s="41" t="s">
        <v>34</v>
      </c>
      <c r="B252" s="42">
        <v>35638.818680690005</v>
      </c>
      <c r="C252" s="42">
        <v>24214.973517330007</v>
      </c>
      <c r="D252" s="42">
        <v>20796.869242420005</v>
      </c>
      <c r="E252" s="42">
        <v>10835.501029360003</v>
      </c>
      <c r="F252" s="33">
        <f t="shared" si="41"/>
        <v>9961.3682130600027</v>
      </c>
      <c r="G252" s="33">
        <f t="shared" si="39"/>
        <v>3418.1042749100015</v>
      </c>
      <c r="H252" s="33">
        <f t="shared" si="42"/>
        <v>11423.845163359998</v>
      </c>
      <c r="I252" s="43">
        <f t="shared" si="44"/>
        <v>2.2256465414616131</v>
      </c>
      <c r="J252" s="43">
        <f t="shared" si="44"/>
        <v>1.6625984899654147</v>
      </c>
      <c r="K252" s="44"/>
      <c r="L252" s="44"/>
      <c r="M252" s="18">
        <v>16012.793593580001</v>
      </c>
      <c r="N252" s="18">
        <v>14564.534771010003</v>
      </c>
    </row>
    <row r="253" spans="1:14" ht="15.6" x14ac:dyDescent="0.25">
      <c r="A253" s="41" t="s">
        <v>35</v>
      </c>
      <c r="B253" s="42">
        <v>37001.113740070003</v>
      </c>
      <c r="C253" s="42">
        <v>25371.124111100002</v>
      </c>
      <c r="D253" s="42">
        <v>21888.373005880003</v>
      </c>
      <c r="E253" s="42">
        <v>11252.010695250001</v>
      </c>
      <c r="F253" s="33">
        <f t="shared" si="41"/>
        <v>10636.362310630002</v>
      </c>
      <c r="G253" s="33">
        <f t="shared" si="39"/>
        <v>3482.7511052199989</v>
      </c>
      <c r="H253" s="33">
        <f t="shared" si="42"/>
        <v>11629.989628970001</v>
      </c>
      <c r="I253" s="43">
        <f t="shared" si="44"/>
        <v>2.1733384371024034</v>
      </c>
      <c r="J253" s="43">
        <f t="shared" si="44"/>
        <v>1.7046378256910242</v>
      </c>
      <c r="K253" s="44"/>
      <c r="L253" s="44"/>
      <c r="M253" s="18">
        <v>17025.012353530001</v>
      </c>
      <c r="N253" s="18">
        <v>14883.586254350002</v>
      </c>
    </row>
    <row r="254" spans="1:14" ht="15.6" x14ac:dyDescent="0.25">
      <c r="A254" s="41" t="s">
        <v>36</v>
      </c>
      <c r="B254" s="42">
        <v>38290.368884790005</v>
      </c>
      <c r="C254" s="42">
        <v>26164.281564559999</v>
      </c>
      <c r="D254" s="42">
        <v>22549.767804349998</v>
      </c>
      <c r="E254" s="42">
        <v>11712.44285928</v>
      </c>
      <c r="F254" s="33">
        <f t="shared" si="41"/>
        <v>10837.324945069999</v>
      </c>
      <c r="G254" s="33">
        <f t="shared" si="39"/>
        <v>3614.5137602100003</v>
      </c>
      <c r="H254" s="33">
        <f t="shared" si="42"/>
        <v>12126.087320230006</v>
      </c>
      <c r="I254" s="43">
        <f t="shared" si="44"/>
        <v>2.1841757840658316</v>
      </c>
      <c r="J254" s="43">
        <f t="shared" si="44"/>
        <v>1.671538241068693</v>
      </c>
      <c r="K254" s="44"/>
      <c r="L254" s="44"/>
      <c r="M254" s="18">
        <v>17530.809179430002</v>
      </c>
      <c r="N254" s="18">
        <v>15652.816622270002</v>
      </c>
    </row>
    <row r="255" spans="1:14" ht="15.6" x14ac:dyDescent="0.25">
      <c r="A255" s="41" t="s">
        <v>37</v>
      </c>
      <c r="B255" s="42">
        <v>38257.376641509996</v>
      </c>
      <c r="C255" s="42">
        <v>26265.92058921</v>
      </c>
      <c r="D255" s="42">
        <v>22448.756854389998</v>
      </c>
      <c r="E255" s="42">
        <v>12146.521917949998</v>
      </c>
      <c r="F255" s="33">
        <f t="shared" si="41"/>
        <v>10302.23493644</v>
      </c>
      <c r="G255" s="33">
        <f t="shared" si="39"/>
        <v>3817.163734820002</v>
      </c>
      <c r="H255" s="33">
        <f t="shared" si="42"/>
        <v>11991.456052299996</v>
      </c>
      <c r="I255" s="43">
        <f t="shared" si="44"/>
        <v>2.1236399188992197</v>
      </c>
      <c r="J255" s="43">
        <f t="shared" si="44"/>
        <v>1.6293552760477843</v>
      </c>
      <c r="K255" s="44"/>
      <c r="L255" s="44"/>
      <c r="M255" s="18">
        <v>18015.001649310001</v>
      </c>
      <c r="N255" s="18">
        <v>16120.4379274</v>
      </c>
    </row>
    <row r="256" spans="1:14" ht="15.6" x14ac:dyDescent="0.25">
      <c r="A256" s="41" t="s">
        <v>38</v>
      </c>
      <c r="B256" s="42">
        <v>39064.86572604</v>
      </c>
      <c r="C256" s="42">
        <v>26973.767824449998</v>
      </c>
      <c r="D256" s="42">
        <v>23066.441070699999</v>
      </c>
      <c r="E256" s="42">
        <v>12169.26614639</v>
      </c>
      <c r="F256" s="33">
        <f t="shared" si="41"/>
        <v>10897.174924309998</v>
      </c>
      <c r="G256" s="33">
        <f t="shared" si="39"/>
        <v>3907.3267537499996</v>
      </c>
      <c r="H256" s="33">
        <f t="shared" si="42"/>
        <v>12091.097901590001</v>
      </c>
      <c r="I256" s="43">
        <f t="shared" si="44"/>
        <v>2.187857240117987</v>
      </c>
      <c r="J256" s="43">
        <f t="shared" si="44"/>
        <v>1.6645512440632049</v>
      </c>
      <c r="K256" s="44"/>
      <c r="L256" s="44"/>
      <c r="M256" s="18">
        <v>17855.30838563</v>
      </c>
      <c r="N256" s="18">
        <v>16204.82873126</v>
      </c>
    </row>
    <row r="257" spans="1:14" ht="15.6" x14ac:dyDescent="0.25">
      <c r="A257" s="41" t="s">
        <v>39</v>
      </c>
      <c r="B257" s="42">
        <v>40150.421797239993</v>
      </c>
      <c r="C257" s="42">
        <v>27698.745064009996</v>
      </c>
      <c r="D257" s="42">
        <v>23717.158577019996</v>
      </c>
      <c r="E257" s="42">
        <v>12301.510788199999</v>
      </c>
      <c r="F257" s="33">
        <f t="shared" si="41"/>
        <v>11415.647788819997</v>
      </c>
      <c r="G257" s="33">
        <f t="shared" si="39"/>
        <v>3981.5864869899997</v>
      </c>
      <c r="H257" s="33">
        <f t="shared" si="42"/>
        <v>12451.676733229997</v>
      </c>
      <c r="I257" s="43">
        <f t="shared" si="44"/>
        <v>2.267963316655409</v>
      </c>
      <c r="J257" s="43">
        <f t="shared" si="44"/>
        <v>1.7156394006916751</v>
      </c>
      <c r="K257" s="44"/>
      <c r="L257" s="44"/>
      <c r="M257" s="18">
        <v>17703.294185750001</v>
      </c>
      <c r="N257" s="18">
        <v>16144.852498050001</v>
      </c>
    </row>
    <row r="258" spans="1:14" ht="15.6" x14ac:dyDescent="0.25">
      <c r="A258" s="41" t="s">
        <v>40</v>
      </c>
      <c r="B258" s="42">
        <v>41178.167727560001</v>
      </c>
      <c r="C258" s="42">
        <v>28702.123430259999</v>
      </c>
      <c r="D258" s="42">
        <v>24636.848113879998</v>
      </c>
      <c r="E258" s="42">
        <v>12542.762842100001</v>
      </c>
      <c r="F258" s="33">
        <f t="shared" si="41"/>
        <v>12094.085271779997</v>
      </c>
      <c r="G258" s="33">
        <f t="shared" si="39"/>
        <v>4065.2753163800007</v>
      </c>
      <c r="H258" s="33">
        <f t="shared" si="42"/>
        <v>12476.044297300003</v>
      </c>
      <c r="I258" s="43">
        <f t="shared" si="44"/>
        <v>2.2369198643052428</v>
      </c>
      <c r="J258" s="43">
        <f t="shared" si="44"/>
        <v>1.7216808802677508</v>
      </c>
      <c r="K258" s="44"/>
      <c r="L258" s="44"/>
      <c r="M258" s="18">
        <v>18408.423289830003</v>
      </c>
      <c r="N258" s="18">
        <v>16670.989240350005</v>
      </c>
    </row>
    <row r="259" spans="1:14" ht="15.6" x14ac:dyDescent="0.25">
      <c r="A259" s="41" t="s">
        <v>41</v>
      </c>
      <c r="B259" s="42">
        <v>41732.480991759992</v>
      </c>
      <c r="C259" s="42">
        <v>28664.181435909999</v>
      </c>
      <c r="D259" s="42">
        <v>24532.729245579998</v>
      </c>
      <c r="E259" s="42">
        <v>12726.75383118</v>
      </c>
      <c r="F259" s="33">
        <f t="shared" si="41"/>
        <v>11805.975414399998</v>
      </c>
      <c r="G259" s="33">
        <f t="shared" si="39"/>
        <v>4131.452190330001</v>
      </c>
      <c r="H259" s="33">
        <f t="shared" si="42"/>
        <v>13068.299555849993</v>
      </c>
      <c r="I259" s="43">
        <v>2.2253080805295489</v>
      </c>
      <c r="J259" s="43">
        <v>1.7155785355340376</v>
      </c>
      <c r="K259" s="44"/>
      <c r="L259" s="44"/>
      <c r="M259" s="18">
        <v>18753.574553070001</v>
      </c>
      <c r="N259" s="18">
        <v>16708.172107660001</v>
      </c>
    </row>
    <row r="260" spans="1:14" ht="15.6" x14ac:dyDescent="0.25">
      <c r="A260" s="41" t="s">
        <v>42</v>
      </c>
      <c r="B260" s="42">
        <v>42824.929994710001</v>
      </c>
      <c r="C260" s="42">
        <v>29565.603848790008</v>
      </c>
      <c r="D260" s="42">
        <v>25365.805405030005</v>
      </c>
      <c r="E260" s="42">
        <v>13297.493267379999</v>
      </c>
      <c r="F260" s="33">
        <f t="shared" si="41"/>
        <v>12068.312137650006</v>
      </c>
      <c r="G260" s="33">
        <f t="shared" si="39"/>
        <v>4199.7984437600026</v>
      </c>
      <c r="H260" s="33">
        <f t="shared" si="42"/>
        <v>13259.326145919993</v>
      </c>
      <c r="I260" s="43">
        <f>B260/M260</f>
        <v>2.0490141781273317</v>
      </c>
      <c r="J260" s="43">
        <f t="shared" si="44"/>
        <v>1.6933069359993795</v>
      </c>
      <c r="K260" s="44"/>
      <c r="L260" s="44"/>
      <c r="M260" s="18">
        <v>20900.260452980005</v>
      </c>
      <c r="N260" s="18">
        <v>17460.274460720004</v>
      </c>
    </row>
    <row r="261" spans="1:14" ht="15.6" x14ac:dyDescent="0.25">
      <c r="A261" s="41" t="s">
        <v>58</v>
      </c>
      <c r="B261" s="46">
        <v>45073.454435480002</v>
      </c>
      <c r="C261" s="46">
        <v>35371.828297100001</v>
      </c>
      <c r="D261" s="46">
        <v>29678.599827820002</v>
      </c>
      <c r="E261" s="46">
        <v>15873.293199200001</v>
      </c>
      <c r="F261" s="67">
        <v>13805.306628620001</v>
      </c>
      <c r="G261" s="67">
        <v>5693.2284692799985</v>
      </c>
      <c r="H261" s="67">
        <v>9701.6261383800011</v>
      </c>
      <c r="I261" s="55">
        <v>1.8871316124945883</v>
      </c>
      <c r="J261" s="55">
        <v>1.6944433069209934</v>
      </c>
      <c r="K261" s="44"/>
      <c r="L261" s="44"/>
      <c r="M261" s="18"/>
      <c r="N261" s="18"/>
    </row>
    <row r="262" spans="1:14" ht="15.6" x14ac:dyDescent="0.25">
      <c r="A262" s="41" t="s">
        <v>31</v>
      </c>
      <c r="B262" s="42">
        <v>42014.817824240003</v>
      </c>
      <c r="C262" s="42">
        <v>28914.779509910004</v>
      </c>
      <c r="D262" s="42">
        <v>24707.252560940004</v>
      </c>
      <c r="E262" s="42">
        <v>13257.987665800001</v>
      </c>
      <c r="F262" s="33">
        <f t="shared" si="41"/>
        <v>11449.264895140002</v>
      </c>
      <c r="G262" s="33">
        <f t="shared" si="39"/>
        <v>4207.5269489700004</v>
      </c>
      <c r="H262" s="33">
        <f t="shared" ref="H262:H273" si="45">+B262-C262</f>
        <v>13100.038314329999</v>
      </c>
      <c r="I262" s="43">
        <f t="shared" ref="I262:J273" si="46">B262/M262</f>
        <v>2.2556153508226053</v>
      </c>
      <c r="J262" s="43">
        <f t="shared" si="46"/>
        <v>1.7124655404975042</v>
      </c>
      <c r="K262" s="44"/>
      <c r="L262" s="44"/>
      <c r="M262" s="18">
        <v>18626.765334310003</v>
      </c>
      <c r="N262" s="18">
        <v>16884.882542810003</v>
      </c>
    </row>
    <row r="263" spans="1:14" ht="15.6" x14ac:dyDescent="0.25">
      <c r="A263" s="41" t="s">
        <v>32</v>
      </c>
      <c r="B263" s="42">
        <v>41733.000310439995</v>
      </c>
      <c r="C263" s="42">
        <v>29018.297662320001</v>
      </c>
      <c r="D263" s="42">
        <v>24680.764874619999</v>
      </c>
      <c r="E263" s="42">
        <v>13578.954223320001</v>
      </c>
      <c r="F263" s="33">
        <f t="shared" si="41"/>
        <v>11101.810651299998</v>
      </c>
      <c r="G263" s="33">
        <f t="shared" si="39"/>
        <v>4337.5327877000018</v>
      </c>
      <c r="H263" s="33">
        <f t="shared" si="45"/>
        <v>12714.702648119994</v>
      </c>
      <c r="I263" s="43">
        <f t="shared" si="46"/>
        <v>2.2067316166683244</v>
      </c>
      <c r="J263" s="43">
        <f t="shared" si="46"/>
        <v>1.682348336571837</v>
      </c>
      <c r="K263" s="44"/>
      <c r="L263" s="44"/>
      <c r="M263" s="18">
        <v>18911.679152650006</v>
      </c>
      <c r="N263" s="18">
        <v>17248.685680310005</v>
      </c>
    </row>
    <row r="264" spans="1:14" ht="15.6" x14ac:dyDescent="0.25">
      <c r="A264" s="41" t="s">
        <v>33</v>
      </c>
      <c r="B264" s="42">
        <v>41078.253379200003</v>
      </c>
      <c r="C264" s="42">
        <v>29693.952624060003</v>
      </c>
      <c r="D264" s="42">
        <v>25305.375001060002</v>
      </c>
      <c r="E264" s="42">
        <v>13688.942531370001</v>
      </c>
      <c r="F264" s="33">
        <f t="shared" si="41"/>
        <v>11616.43246969</v>
      </c>
      <c r="G264" s="33">
        <f t="shared" si="39"/>
        <v>4388.577623000001</v>
      </c>
      <c r="H264" s="33">
        <f t="shared" si="45"/>
        <v>11384.300755140001</v>
      </c>
      <c r="I264" s="43">
        <f t="shared" si="46"/>
        <v>2.1132540677791014</v>
      </c>
      <c r="J264" s="43">
        <f t="shared" si="46"/>
        <v>1.6786724976993797</v>
      </c>
      <c r="K264" s="44"/>
      <c r="L264" s="44"/>
      <c r="M264" s="18">
        <v>19438.388410329997</v>
      </c>
      <c r="N264" s="18">
        <v>17688.949252909999</v>
      </c>
    </row>
    <row r="265" spans="1:14" ht="15.6" x14ac:dyDescent="0.25">
      <c r="A265" s="41" t="s">
        <v>34</v>
      </c>
      <c r="B265" s="42">
        <v>41177.46987157</v>
      </c>
      <c r="C265" s="42">
        <v>30189.143619710001</v>
      </c>
      <c r="D265" s="42">
        <v>25721.310296610001</v>
      </c>
      <c r="E265" s="42">
        <v>13905.476173270001</v>
      </c>
      <c r="F265" s="33">
        <f t="shared" si="41"/>
        <v>11815.834123340001</v>
      </c>
      <c r="G265" s="33">
        <f t="shared" si="39"/>
        <v>4467.8333230999997</v>
      </c>
      <c r="H265" s="33">
        <f t="shared" si="45"/>
        <v>10988.326251859999</v>
      </c>
      <c r="I265" s="43">
        <f t="shared" si="46"/>
        <v>2.1644215064055374</v>
      </c>
      <c r="J265" s="43">
        <f t="shared" si="46"/>
        <v>1.714323418429949</v>
      </c>
      <c r="K265" s="44"/>
      <c r="L265" s="44"/>
      <c r="M265" s="18">
        <v>19024.700017860003</v>
      </c>
      <c r="N265" s="18">
        <v>17609.946463520002</v>
      </c>
    </row>
    <row r="266" spans="1:14" ht="15.6" x14ac:dyDescent="0.25">
      <c r="A266" s="41" t="s">
        <v>35</v>
      </c>
      <c r="B266" s="42">
        <v>41371.81975563</v>
      </c>
      <c r="C266" s="42">
        <v>30368.844427370001</v>
      </c>
      <c r="D266" s="42">
        <v>25737.90202809</v>
      </c>
      <c r="E266" s="42">
        <v>13978.7521244</v>
      </c>
      <c r="F266" s="33">
        <f t="shared" si="41"/>
        <v>11759.14990369</v>
      </c>
      <c r="G266" s="33">
        <f t="shared" si="39"/>
        <v>4630.9423992800002</v>
      </c>
      <c r="H266" s="33">
        <f t="shared" si="45"/>
        <v>11002.97532826</v>
      </c>
      <c r="I266" s="43">
        <f t="shared" si="46"/>
        <v>2.1641647968905686</v>
      </c>
      <c r="J266" s="43">
        <f t="shared" si="46"/>
        <v>1.7503185495165405</v>
      </c>
      <c r="K266" s="44"/>
      <c r="L266" s="44"/>
      <c r="M266" s="18">
        <v>19116.760338709999</v>
      </c>
      <c r="N266" s="18">
        <v>17350.46711112</v>
      </c>
    </row>
    <row r="267" spans="1:14" ht="15.6" x14ac:dyDescent="0.25">
      <c r="A267" s="41" t="s">
        <v>36</v>
      </c>
      <c r="B267" s="42">
        <v>41239.938644500005</v>
      </c>
      <c r="C267" s="42">
        <v>31403.953318120006</v>
      </c>
      <c r="D267" s="42">
        <v>26609.587875230005</v>
      </c>
      <c r="E267" s="42">
        <v>14534.687712530002</v>
      </c>
      <c r="F267" s="33">
        <f t="shared" si="41"/>
        <v>12074.900162700003</v>
      </c>
      <c r="G267" s="33">
        <f t="shared" si="39"/>
        <v>4794.3654428900008</v>
      </c>
      <c r="H267" s="33">
        <f t="shared" si="45"/>
        <v>9835.9853263799996</v>
      </c>
      <c r="I267" s="43">
        <f t="shared" si="46"/>
        <v>2.0657738527494414</v>
      </c>
      <c r="J267" s="43">
        <f t="shared" si="46"/>
        <v>1.7065771694203946</v>
      </c>
      <c r="K267" s="44"/>
      <c r="L267" s="44"/>
      <c r="M267" s="18">
        <v>19963.433359180006</v>
      </c>
      <c r="N267" s="18">
        <v>18401.718879660006</v>
      </c>
    </row>
    <row r="268" spans="1:14" ht="15.6" x14ac:dyDescent="0.25">
      <c r="A268" s="41" t="s">
        <v>37</v>
      </c>
      <c r="B268" s="42">
        <v>41070.580024740004</v>
      </c>
      <c r="C268" s="42">
        <v>31713.095934370001</v>
      </c>
      <c r="D268" s="42">
        <v>26824.884184800001</v>
      </c>
      <c r="E268" s="42">
        <v>14725.274609399999</v>
      </c>
      <c r="F268" s="33">
        <f t="shared" si="41"/>
        <v>12099.609575400002</v>
      </c>
      <c r="G268" s="33">
        <f t="shared" si="39"/>
        <v>4888.2117495700004</v>
      </c>
      <c r="H268" s="33">
        <f t="shared" si="45"/>
        <v>9357.4840903700024</v>
      </c>
      <c r="I268" s="43">
        <f t="shared" si="46"/>
        <v>2.0989970578423991</v>
      </c>
      <c r="J268" s="43">
        <f t="shared" si="46"/>
        <v>1.7365008078276136</v>
      </c>
      <c r="K268" s="44"/>
      <c r="L268" s="44"/>
      <c r="M268" s="18">
        <v>19566.763979630003</v>
      </c>
      <c r="N268" s="18">
        <v>18262.643928190002</v>
      </c>
    </row>
    <row r="269" spans="1:14" ht="15.6" x14ac:dyDescent="0.25">
      <c r="A269" s="41" t="s">
        <v>38</v>
      </c>
      <c r="B269" s="42">
        <v>41110.302735789999</v>
      </c>
      <c r="C269" s="42">
        <v>32027.483827460001</v>
      </c>
      <c r="D269" s="42">
        <v>26955.835413550001</v>
      </c>
      <c r="E269" s="42">
        <v>14604.80832387</v>
      </c>
      <c r="F269" s="33">
        <f t="shared" si="41"/>
        <v>12351.027089680001</v>
      </c>
      <c r="G269" s="33">
        <f t="shared" si="39"/>
        <v>5071.6484139099994</v>
      </c>
      <c r="H269" s="33">
        <f t="shared" si="45"/>
        <v>9082.8189083299985</v>
      </c>
      <c r="I269" s="43">
        <f t="shared" si="46"/>
        <v>2.0745403378096845</v>
      </c>
      <c r="J269" s="43">
        <f t="shared" si="46"/>
        <v>1.767826101846276</v>
      </c>
      <c r="K269" s="44"/>
      <c r="L269" s="44"/>
      <c r="M269" s="18">
        <v>19816.583937430001</v>
      </c>
      <c r="N269" s="18">
        <v>18116.87461454</v>
      </c>
    </row>
    <row r="270" spans="1:14" ht="15.6" x14ac:dyDescent="0.25">
      <c r="A270" s="41" t="s">
        <v>39</v>
      </c>
      <c r="B270" s="42">
        <v>42024.068608210007</v>
      </c>
      <c r="C270" s="42">
        <v>33180.734471010008</v>
      </c>
      <c r="D270" s="42">
        <v>27879.462798890003</v>
      </c>
      <c r="E270" s="42">
        <v>14741.89901487</v>
      </c>
      <c r="F270" s="33">
        <f t="shared" si="41"/>
        <v>13137.563784020003</v>
      </c>
      <c r="G270" s="33">
        <f t="shared" si="39"/>
        <v>5301.271672120005</v>
      </c>
      <c r="H270" s="33">
        <f t="shared" si="45"/>
        <v>8843.3341371999995</v>
      </c>
      <c r="I270" s="43">
        <f t="shared" si="46"/>
        <v>2.1625646022911087</v>
      </c>
      <c r="J270" s="43">
        <f t="shared" si="46"/>
        <v>1.8540681909888546</v>
      </c>
      <c r="K270" s="44"/>
      <c r="L270" s="44"/>
      <c r="M270" s="18">
        <v>19432.514785309999</v>
      </c>
      <c r="N270" s="18">
        <v>17896.178054439999</v>
      </c>
    </row>
    <row r="271" spans="1:14" ht="15.6" x14ac:dyDescent="0.25">
      <c r="A271" s="41" t="s">
        <v>40</v>
      </c>
      <c r="B271" s="42">
        <v>42894.20957888</v>
      </c>
      <c r="C271" s="42">
        <v>33433.65352688</v>
      </c>
      <c r="D271" s="42">
        <v>28076.588598260001</v>
      </c>
      <c r="E271" s="42">
        <v>14941.352366700001</v>
      </c>
      <c r="F271" s="33">
        <f t="shared" si="41"/>
        <v>13135.23623156</v>
      </c>
      <c r="G271" s="33">
        <f t="shared" si="39"/>
        <v>5357.0649286199987</v>
      </c>
      <c r="H271" s="33">
        <f t="shared" si="45"/>
        <v>9460.5560519999999</v>
      </c>
      <c r="I271" s="43">
        <f t="shared" si="46"/>
        <v>2.1495165904679179</v>
      </c>
      <c r="J271" s="43">
        <f t="shared" si="46"/>
        <v>1.8168498246545146</v>
      </c>
      <c r="K271" s="44"/>
      <c r="L271" s="44"/>
      <c r="M271" s="18">
        <v>19955.28193134</v>
      </c>
      <c r="N271" s="18">
        <v>18401.99067264</v>
      </c>
    </row>
    <row r="272" spans="1:14" ht="15.6" x14ac:dyDescent="0.25">
      <c r="A272" s="41" t="s">
        <v>41</v>
      </c>
      <c r="B272" s="42">
        <v>43361.764667709998</v>
      </c>
      <c r="C272" s="42">
        <v>34199.027360200002</v>
      </c>
      <c r="D272" s="42">
        <v>28673.838069500001</v>
      </c>
      <c r="E272" s="42">
        <v>15117.740253280002</v>
      </c>
      <c r="F272" s="33">
        <f t="shared" si="41"/>
        <v>13556.097816219999</v>
      </c>
      <c r="G272" s="33">
        <f t="shared" si="39"/>
        <v>5525.1892907000001</v>
      </c>
      <c r="H272" s="33">
        <f t="shared" si="45"/>
        <v>9162.7373075099968</v>
      </c>
      <c r="I272" s="43">
        <f t="shared" si="46"/>
        <v>2.1952577683464227</v>
      </c>
      <c r="J272" s="43">
        <f t="shared" si="46"/>
        <v>1.8652951097690866</v>
      </c>
      <c r="K272" s="44"/>
      <c r="L272" s="44"/>
      <c r="M272" s="18">
        <v>19752.470663329997</v>
      </c>
      <c r="N272" s="18">
        <v>18334.378930759998</v>
      </c>
    </row>
    <row r="273" spans="1:14" ht="15.6" x14ac:dyDescent="0.25">
      <c r="A273" s="41" t="s">
        <v>42</v>
      </c>
      <c r="B273" s="42">
        <v>45073.454435480002</v>
      </c>
      <c r="C273" s="42">
        <v>35371.828297100001</v>
      </c>
      <c r="D273" s="42">
        <v>29678.599827820002</v>
      </c>
      <c r="E273" s="42">
        <v>15873.293199200001</v>
      </c>
      <c r="F273" s="33">
        <f t="shared" si="41"/>
        <v>13805.306628620001</v>
      </c>
      <c r="G273" s="33">
        <f t="shared" si="39"/>
        <v>5693.2284692799985</v>
      </c>
      <c r="H273" s="33">
        <f t="shared" si="45"/>
        <v>9701.6261383800011</v>
      </c>
      <c r="I273" s="43">
        <f t="shared" si="46"/>
        <v>1.8871316124945883</v>
      </c>
      <c r="J273" s="43">
        <f t="shared" si="46"/>
        <v>1.6944433069209934</v>
      </c>
      <c r="K273" s="44"/>
      <c r="L273" s="44"/>
      <c r="M273" s="18">
        <v>23884.63747682</v>
      </c>
      <c r="N273" s="18">
        <v>20875.191369710003</v>
      </c>
    </row>
    <row r="274" spans="1:14" ht="15.6" x14ac:dyDescent="0.25">
      <c r="A274" s="41" t="s">
        <v>59</v>
      </c>
      <c r="B274" s="42"/>
      <c r="C274" s="42"/>
      <c r="D274" s="42"/>
      <c r="E274" s="42"/>
      <c r="F274" s="33"/>
      <c r="G274" s="33"/>
      <c r="H274" s="33"/>
      <c r="I274" s="43"/>
      <c r="J274" s="43"/>
      <c r="K274" s="44"/>
      <c r="L274" s="44"/>
      <c r="M274" s="18"/>
      <c r="N274" s="18"/>
    </row>
    <row r="275" spans="1:14" ht="15.6" x14ac:dyDescent="0.25">
      <c r="A275" s="41" t="s">
        <v>31</v>
      </c>
      <c r="B275" s="42">
        <v>44898.660742440006</v>
      </c>
      <c r="C275" s="42">
        <v>34235.278261960004</v>
      </c>
      <c r="D275" s="42">
        <v>28785.707060780001</v>
      </c>
      <c r="E275" s="42">
        <v>15416.519995090002</v>
      </c>
      <c r="F275" s="33">
        <f t="shared" ref="F275:F276" si="47">+D275-E275</f>
        <v>13369.187065689999</v>
      </c>
      <c r="G275" s="33">
        <f t="shared" ref="G275:G276" si="48">+C275-D275</f>
        <v>5449.5712011800024</v>
      </c>
      <c r="H275" s="33">
        <f t="shared" ref="H275:H276" si="49">+B275-C275</f>
        <v>10663.382480480002</v>
      </c>
      <c r="I275" s="43">
        <f t="shared" ref="I275:J276" si="50">B275/M275</f>
        <v>1.9708098549605919</v>
      </c>
      <c r="J275" s="43">
        <f t="shared" si="50"/>
        <v>1.6888678265984305</v>
      </c>
      <c r="K275" s="44"/>
      <c r="L275" s="44"/>
      <c r="M275" s="18">
        <v>22781.832874150001</v>
      </c>
      <c r="N275" s="18">
        <v>20271.14124787</v>
      </c>
    </row>
    <row r="276" spans="1:14" ht="15.6" x14ac:dyDescent="0.25">
      <c r="A276" s="68" t="s">
        <v>32</v>
      </c>
      <c r="B276" s="69">
        <v>44762.603155069999</v>
      </c>
      <c r="C276" s="69">
        <v>34263.958200839996</v>
      </c>
      <c r="D276" s="69">
        <v>28643.007836739998</v>
      </c>
      <c r="E276" s="69">
        <v>15245.458378809999</v>
      </c>
      <c r="F276" s="70">
        <f t="shared" si="47"/>
        <v>13397.549457929999</v>
      </c>
      <c r="G276" s="70">
        <f t="shared" si="48"/>
        <v>5620.9503640999974</v>
      </c>
      <c r="H276" s="70">
        <f t="shared" si="49"/>
        <v>10498.644954230003</v>
      </c>
      <c r="I276" s="71">
        <f t="shared" si="50"/>
        <v>1.9436302872303235</v>
      </c>
      <c r="J276" s="71">
        <f t="shared" si="50"/>
        <v>1.7019855455115509</v>
      </c>
      <c r="K276" s="44"/>
      <c r="L276" s="44"/>
      <c r="M276" s="18">
        <v>23030.41038677</v>
      </c>
      <c r="N276" s="18">
        <v>20131.75628383</v>
      </c>
    </row>
    <row r="277" spans="1:14" s="74" customFormat="1" ht="20.25" customHeight="1" x14ac:dyDescent="0.25">
      <c r="A277" s="72" t="s">
        <v>60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3"/>
      <c r="L277" s="73"/>
    </row>
    <row r="278" spans="1:14" s="74" customFormat="1" ht="20.25" customHeight="1" x14ac:dyDescent="0.25">
      <c r="A278" s="72" t="s">
        <v>61</v>
      </c>
      <c r="B278" s="72"/>
      <c r="C278" s="72"/>
      <c r="D278" s="72"/>
      <c r="E278" s="72"/>
      <c r="F278" s="72"/>
      <c r="G278" s="72"/>
      <c r="H278" s="72"/>
      <c r="I278" s="72"/>
      <c r="J278" s="72"/>
      <c r="K278" s="75"/>
      <c r="L278" s="75"/>
    </row>
    <row r="279" spans="1:14" ht="12.9" customHeight="1" x14ac:dyDescent="0.25">
      <c r="H279" s="18"/>
    </row>
    <row r="280" spans="1:14" ht="12.9" customHeight="1" x14ac:dyDescent="0.25">
      <c r="C280" s="10" t="s">
        <v>62</v>
      </c>
    </row>
  </sheetData>
  <mergeCells count="33">
    <mergeCell ref="E13:F13"/>
    <mergeCell ref="G13:G15"/>
    <mergeCell ref="E14:E15"/>
    <mergeCell ref="F14:F15"/>
    <mergeCell ref="A277:J277"/>
    <mergeCell ref="A278:J278"/>
    <mergeCell ref="A11:A15"/>
    <mergeCell ref="B11:B15"/>
    <mergeCell ref="C11:H11"/>
    <mergeCell ref="I11:J11"/>
    <mergeCell ref="C12:C15"/>
    <mergeCell ref="D12:G12"/>
    <mergeCell ref="H12:H15"/>
    <mergeCell ref="I12:I15"/>
    <mergeCell ref="J12:J15"/>
    <mergeCell ref="D13:D15"/>
    <mergeCell ref="I7:I10"/>
    <mergeCell ref="J7:J10"/>
    <mergeCell ref="D8:D10"/>
    <mergeCell ref="E8:F8"/>
    <mergeCell ref="G8:G10"/>
    <mergeCell ref="E9:E10"/>
    <mergeCell ref="F9:F10"/>
    <mergeCell ref="A2:J2"/>
    <mergeCell ref="A3:J3"/>
    <mergeCell ref="A5:J5"/>
    <mergeCell ref="A6:A10"/>
    <mergeCell ref="B6:B10"/>
    <mergeCell ref="C6:H6"/>
    <mergeCell ref="I6:J6"/>
    <mergeCell ref="C7:C10"/>
    <mergeCell ref="D7:G7"/>
    <mergeCell ref="H7:H10"/>
  </mergeCells>
  <pageMargins left="0.92" right="0.7" top="0.17" bottom="0.17" header="0.17" footer="0.17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2.4</vt:lpstr>
      <vt:lpstr>'2.4'!Print_Area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2024-03-28T05:08:30Z</dcterms:created>
  <dcterms:modified xsi:type="dcterms:W3CDTF">2024-03-28T05:08:31Z</dcterms:modified>
</cp:coreProperties>
</file>